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565"/>
  </bookViews>
  <sheets>
    <sheet name="1.24" sheetId="1" r:id="rId1"/>
    <sheet name="1.25" sheetId="2" r:id="rId2"/>
  </sheets>
  <externalReferences>
    <externalReference r:id="rId3"/>
    <externalReference r:id="rId4"/>
    <externalReference r:id="rId5"/>
    <externalReference r:id="rId6"/>
  </externalReferences>
  <definedNames>
    <definedName name="_Sort" hidden="1">#REF!</definedName>
    <definedName name="_vn1">'[4]Свод УЕ'!$B$6</definedName>
    <definedName name="_vn2">'[4]Свод УЕ'!$C$6</definedName>
    <definedName name="_vn3">'[4]Свод УЕ'!$D$6</definedName>
    <definedName name="_vn4">'[4]Свод УЕ'!$E$6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'[1]16'!$E$15:$I$16,'[1]16'!$E$18:$I$20,'[1]16'!$E$23:$I$23,'[1]16'!$E$26:$I$26,'[1]16'!$E$29:$I$29,'[1]16'!$E$32:$I$32,'[1]16'!$E$35:$I$35,'[1]16'!$B$34,'[1]16'!$B$37</definedName>
    <definedName name="P1_SCOPE_17_PRT" hidden="1">'[1]17'!$E$13:$H$21,'[1]17'!$J$9:$J$11,'[1]17'!$J$13:$J$21,'[1]17'!$E$24:$H$26,'[1]17'!$E$28:$H$36,'[1]17'!$J$24:$M$26,'[1]17'!$J$28:$M$36,'[1]17'!$E$39:$H$41</definedName>
    <definedName name="P1_SCOPE_4_PRT" hidden="1">'[1]4'!$F$23:$I$23,'[1]4'!$F$25:$I$25,'[1]4'!$F$27:$I$31,'[1]4'!$K$14:$N$20,'[1]4'!$K$23:$N$23,'[1]4'!$K$25:$N$25,'[1]4'!$K$27:$N$31,'[1]4'!$P$14:$S$20,'[1]4'!$P$23:$S$23</definedName>
    <definedName name="P1_SCOPE_5_PRT" hidden="1">'[1]5'!$F$23:$I$23,'[1]5'!$F$25:$I$25,'[1]5'!$F$27:$I$31,'[1]5'!$K$14:$N$21,'[1]5'!$K$23:$N$23,'[1]5'!$K$25:$N$25,'[1]5'!$K$27:$N$31,'[1]5'!$P$14:$S$21,'[1]5'!$P$23:$S$23</definedName>
    <definedName name="P1_SCOPE_F1_PRT" hidden="1">'[1]Ф-1 (для АО-энерго)'!$D$74:$E$84,'[1]Ф-1 (для АО-энерго)'!$D$71:$E$72,'[1]Ф-1 (для АО-энерго)'!$D$66:$E$69,'[1]Ф-1 (для АО-энерго)'!$D$61:$E$64</definedName>
    <definedName name="P1_SCOPE_F2_PRT" hidden="1">'[1]Ф-2 (для АО-энерго)'!$G$56,'[1]Ф-2 (для АО-энерго)'!$E$55:$E$56,'[1]Ф-2 (для АО-энерго)'!$F$55:$G$55,'[1]Ф-2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[1]перекрестка!$H$15:$H$19,[1]перекрестка!$H$21:$H$25,[1]перекрестка!$J$14:$J$25,[1]перекрестка!$K$15:$K$19,[1]перекрестка!$K$21:$K$25</definedName>
    <definedName name="P1_SCOPE_SV_LD" hidden="1">#REF!,#REF!,#REF!,#REF!,#REF!,#REF!,#REF!</definedName>
    <definedName name="P1_SCOPE_SV_LD1" hidden="1">[1]свод!$E$70:$M$79,[1]свод!$E$81:$M$81,[1]свод!$E$83:$M$88,[1]свод!$E$90:$M$90,[1]свод!$E$92:$M$96,[1]свод!$E$98:$M$98,[1]свод!$E$101:$M$102</definedName>
    <definedName name="P1_SCOPE_SV_PRT" hidden="1">[1]свод!$E$23:$H$26,[1]свод!$E$28:$I$29,[1]свод!$E$32:$I$36,[1]свод!$E$38:$I$40,[1]свод!$E$42:$I$53,[1]свод!$E$55:$I$56,[1]свод!$E$58:$I$63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'[1]16'!$E$38:$I$38,'[1]16'!$E$41:$I$41,'[1]16'!$E$45:$I$47,'[1]16'!$E$49:$I$49,'[1]16'!$E$53:$I$54,'[1]16'!$E$56:$I$57,'[1]16'!$E$59:$I$59,'[1]16'!$E$9:$I$13</definedName>
    <definedName name="P2_SCOPE_4_PRT" hidden="1">'[1]4'!$P$25:$S$25,'[1]4'!$P$27:$S$31,'[1]4'!$U$14:$X$20,'[1]4'!$U$23:$X$23,'[1]4'!$U$25:$X$25,'[1]4'!$U$27:$X$31,'[1]4'!$Z$14:$AC$20,'[1]4'!$Z$23:$AC$23,'[1]4'!$Z$25:$AC$25</definedName>
    <definedName name="P2_SCOPE_5_PRT" hidden="1">'[1]5'!$P$25:$S$25,'[1]5'!$P$27:$S$31,'[1]5'!$U$14:$X$21,'[1]5'!$U$23:$X$23,'[1]5'!$U$25:$X$25,'[1]5'!$U$27:$X$31,'[1]5'!$Z$14:$AC$21,'[1]5'!$Z$23:$AC$23,'[1]5'!$Z$25:$AC$25</definedName>
    <definedName name="P2_SCOPE_F1_PRT" hidden="1">'[1]Ф-1 (для АО-энерго)'!$D$56:$E$59,'[1]Ф-1 (для АО-энерго)'!$D$34:$E$50,'[1]Ф-1 (для АО-энерго)'!$D$32:$E$32,'[1]Ф-1 (для АО-энерго)'!$D$23:$E$30</definedName>
    <definedName name="P2_SCOPE_F2_PRT" hidden="1">'[1]Ф-2 (для АО-энерго)'!$D$52:$G$54,'[1]Ф-2 (для АО-энерго)'!$C$21:$E$42,'[1]Ф-2 (для АО-энерго)'!$A$12:$E$12,'[1]Ф-2 (для АО-энерго)'!$C$8:$E$11</definedName>
    <definedName name="P2_SCOPE_PER_PRT" hidden="1">[1]перекрестка!$N$14:$N$25,[1]перекрестка!$N$27:$N$31,[1]перекрестка!$J$27:$K$31,[1]перекрестка!$F$27:$H$31,[1]перекрестка!$F$33:$H$37</definedName>
    <definedName name="P2_SCOPE_SV_PRT" hidden="1">[1]свод!$E$72:$I$79,[1]свод!$E$81:$I$81,[1]свод!$E$85:$H$88,[1]свод!$E$90:$I$90,[1]свод!$E$107:$I$112,[1]свод!$E$114:$I$117,[1]свод!$E$124:$H$127</definedName>
    <definedName name="P3_SCOPE_F1_PRT" hidden="1">'[1]Ф-1 (для АО-энерго)'!$E$16:$E$17,'[1]Ф-1 (для АО-энерго)'!$C$4:$D$4,'[1]Ф-1 (для АО-энерго)'!$C$7:$E$10,'[1]Ф-1 (для АО-энерго)'!$A$11:$E$11</definedName>
    <definedName name="P3_SCOPE_PER_PRT" hidden="1">[1]перекрестка!$J$33:$K$37,[1]перекрестка!$N$33:$N$37,[1]перекрестка!$F$39:$H$43,[1]перекрестка!$J$39:$K$43,[1]перекрестка!$N$39:$N$43</definedName>
    <definedName name="P3_SCOPE_SV_PRT" hidden="1">[1]свод!$D$135:$G$135,[1]свод!$I$135:$I$141,[1]свод!$H$137:$H$141,[1]свод!$D$138:$G$141,[1]свод!$E$15:$I$16,[1]свод!$E$120:$I$121,[1]свод!$E$18:$I$19</definedName>
    <definedName name="P4_SCOPE_F1_PRT" hidden="1">'[1]Ф-1 (для АО-энерго)'!$C$13:$E$13,'[1]Ф-1 (для АО-энерго)'!$A$14:$E$14,'[1]Ф-1 (для АО-энерго)'!$C$23:$C$50,'[1]Ф-1 (для АО-энерго)'!$C$54:$C$95</definedName>
    <definedName name="P4_SCOPE_PER_PRT" hidden="1">[1]перекрестка!$F$45:$H$49,[1]перекрестка!$J$45:$K$49,[1]перекрестка!$N$45:$N$49,[1]перекрестка!$F$53:$G$64,[1]перекрестка!$H$54:$H$58</definedName>
    <definedName name="P5_SCOPE_PER_PRT" hidden="1">[1]перекрестка!$H$60:$H$64,[1]перекрестка!$J$53:$J$64,[1]перекрестка!$K$54:$K$58,[1]перекрестка!$K$60:$K$64,[1]перекрестка!$N$53:$N$64</definedName>
    <definedName name="P6_SCOPE_PER_PRT" hidden="1">[1]перекрестка!$F$66:$H$70,[1]перекрестка!$J$66:$K$70,[1]перекрестка!$N$66:$N$70,[1]перекрестка!$F$72:$H$76,[1]перекрестка!$J$72:$K$76</definedName>
    <definedName name="P7_SCOPE_PER_PRT" hidden="1">[1]перекрестка!$N$72:$N$76,[1]перекрестка!$F$78:$H$82,[1]перекрестка!$J$78:$K$82,[1]перекрестка!$N$78:$N$82,[1]перекрестка!$F$84:$H$88</definedName>
    <definedName name="P8_SCOPE_PER_PRT" localSheetId="1" hidden="1">[1]перекрестка!$J$84:$K$88,[1]перекрестка!$N$84:$N$88,[1]перекрестка!$F$14:$G$25,P1_SCOPE_PER_PRT,P2_SCOPE_PER_PRT,P3_SCOPE_PER_PRT,P4_SCOPE_PER_PRT</definedName>
    <definedName name="P8_SCOPE_PER_PRT" hidden="1">[1]перекрестка!$J$84:$K$88,[1]перекрестка!$N$84:$N$88,[1]перекрестка!$F$14:$G$25,P1_SCOPE_PER_PRT,P2_SCOPE_PER_PRT,P3_SCOPE_PER_PRT,P4_SCOPE_PER_PRT</definedName>
    <definedName name="REGIONS">[2]TEHSHEET!$C$6:$C$89</definedName>
    <definedName name="SCENARIOS">[2]TEHSHEET!$K$6:$K$7</definedName>
    <definedName name="SCOPE_16_PRT" localSheetId="1">[0]!P1_SCOPE_16_PRT,[0]!P2_SCOPE_16_PRT</definedName>
    <definedName name="SCOPE_16_PRT">[0]!P1_SCOPE_16_PRT,[0]!P2_SCOPE_16_PRT</definedName>
    <definedName name="SCOPE_17.1_PRT">'[2]17.1'!$D$14:$F$17,'[2]17.1'!$D$19:$F$22,'[2]17.1'!$I$9:$I$12,'[2]17.1'!$I$14:$I$17,'[2]17.1'!$I$19:$I$22,'[2]17.1'!$D$9:$F$12</definedName>
    <definedName name="SCOPE_17_PRT" localSheetId="1">'[2]17'!$J$39:$M$41,'[2]17'!$E$43:$H$51,'[2]17'!$J$43:$M$51,'[2]17'!$E$54:$H$56,'[2]17'!$E$58:$H$66,'[2]17'!$E$69:$M$81,'[2]17'!$E$9:$H$11,[0]!P1_SCOPE_17_PRT</definedName>
    <definedName name="SCOPE_17_PRT">'[2]17'!$J$39:$M$41,'[2]17'!$E$43:$H$51,'[2]17'!$J$43:$M$51,'[2]17'!$E$54:$H$56,'[2]17'!$E$58:$H$66,'[2]17'!$E$69:$M$81,'[2]17'!$E$9:$H$11,[0]!P1_SCOPE_17_PRT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3_LD">#REF!</definedName>
    <definedName name="SCOPE_3_PRT">#REF!</definedName>
    <definedName name="SCOPE_4_PRT" localSheetId="1">'[2]4'!$Z$27:$AC$31,'[2]4'!$F$14:$I$20,[0]!P1_SCOPE_4_PRT,[0]!P2_SCOPE_4_PRT</definedName>
    <definedName name="SCOPE_4_PRT">'[2]4'!$Z$27:$AC$31,'[2]4'!$F$14:$I$20,[0]!P1_SCOPE_4_PRT,[0]!P2_SCOPE_4_PRT</definedName>
    <definedName name="SCOPE_5_PRT" localSheetId="1">'[2]5'!$Z$27:$AC$31,'[2]5'!$F$14:$I$21,[0]!P1_SCOPE_5_PRT,[0]!P2_SCOPE_5_PRT</definedName>
    <definedName name="SCOPE_5_PRT">'[2]5'!$Z$27:$AC$31,'[2]5'!$F$14:$I$21,[0]!P1_SCOPE_5_PRT,[0]!P2_SCOPE_5_PRT</definedName>
    <definedName name="SCOPE_F1_PRT" localSheetId="1">'[2]Ф-1 (для АО-энерго)'!$D$86:$E$95,[0]!P1_SCOPE_F1_PRT,[0]!P2_SCOPE_F1_PRT,[0]!P3_SCOPE_F1_PRT,[0]!P4_SCOPE_F1_PRT</definedName>
    <definedName name="SCOPE_F1_PRT">'[2]Ф-1 (для АО-энерго)'!$D$86:$E$95,[0]!P1_SCOPE_F1_PRT,[0]!P2_SCOPE_F1_PRT,[0]!P3_SCOPE_F1_PRT,[0]!P4_SCOPE_F1_PRT</definedName>
    <definedName name="SCOPE_F2_PRT" localSheetId="1">'[2]Ф-2 (для АО-энерго)'!$C$5:$D$5,'[2]Ф-2 (для АО-энерго)'!$C$52:$C$57,'[2]Ф-2 (для АО-энерго)'!$D$57:$G$57,[0]!P1_SCOPE_F2_PRT,[0]!P2_SCOPE_F2_PRT</definedName>
    <definedName name="SCOPE_F2_PRT">'[2]Ф-2 (для АО-энерго)'!$C$5:$D$5,'[2]Ф-2 (для АО-энерго)'!$C$52:$C$57,'[2]Ф-2 (для АО-энерго)'!$D$57:$G$57,[0]!P1_SCOPE_F2_PRT,[0]!P2_SCOPE_F2_PRT</definedName>
    <definedName name="SCOPE_PER_PRT" localSheetId="1">[0]!P5_SCOPE_PER_PRT,[0]!P6_SCOPE_PER_PRT,[0]!P7_SCOPE_PER_PRT,'1.25'!P8_SCOPE_PER_PRT</definedName>
    <definedName name="SCOPE_PER_PRT">[0]!P5_SCOPE_PER_PRT,[0]!P6_SCOPE_PER_PRT,[0]!P7_SCOPE_PER_PRT,[0]!P8_SCOPE_PER_PRT</definedName>
    <definedName name="SCOPE_SPR_PRT">[2]Справочники!$D$21:$J$22,[2]Справочники!$E$13:$I$14,[2]Справочники!$F$27:$H$28</definedName>
    <definedName name="SCOPE_SV_LD1" localSheetId="1">[2]свод!$E$104:$M$104,[2]свод!$E$106:$M$117,[2]свод!$E$120:$M$121,[2]свод!$E$123:$M$127,[2]свод!$E$10:$M$68,[0]!P1_SCOPE_SV_LD1</definedName>
    <definedName name="SCOPE_SV_LD1">[2]свод!$E$104:$M$104,[2]свод!$E$106:$M$117,[2]свод!$E$120:$M$121,[2]свод!$E$123:$M$127,[2]свод!$E$10:$M$68,[0]!P1_SCOPE_SV_LD1</definedName>
    <definedName name="SCOPE_SV_PRT" localSheetId="1">[0]!P1_SCOPE_SV_PRT,[0]!P2_SCOPE_SV_PRT,[0]!P3_SCOPE_SV_PRT</definedName>
    <definedName name="SCOPE_SV_PRT">[0]!P1_SCOPE_SV_PRT,[0]!P2_SCOPE_SV_PRT,[0]!P3_SCOPE_SV_PRT</definedName>
    <definedName name="TARGET">[3]TEHSHEET!$I$42:$I$45</definedName>
    <definedName name="БазовыйПериод">[2]Заголовок!$B$15</definedName>
    <definedName name="_xlnm.Print_Area" localSheetId="0">'1.24'!$A$1:$H$40</definedName>
    <definedName name="_xlnm.Print_Area" localSheetId="1">'1.25'!$A$1:$F$41</definedName>
  </definedNames>
  <calcPr calcId="125725"/>
</workbook>
</file>

<file path=xl/calcChain.xml><?xml version="1.0" encoding="utf-8"?>
<calcChain xmlns="http://schemas.openxmlformats.org/spreadsheetml/2006/main">
  <c r="H36" i="2"/>
  <c r="H34"/>
  <c r="E29"/>
  <c r="E35" s="1"/>
  <c r="H27"/>
  <c r="H26"/>
  <c r="F26"/>
  <c r="E26"/>
  <c r="F25"/>
  <c r="H25" s="1"/>
  <c r="E25"/>
  <c r="F24"/>
  <c r="H24" s="1"/>
  <c r="E24"/>
  <c r="E23" s="1"/>
  <c r="E21" s="1"/>
  <c r="H22"/>
  <c r="F22"/>
  <c r="E22"/>
  <c r="F20"/>
  <c r="E20"/>
  <c r="F19"/>
  <c r="H19" s="1"/>
  <c r="E19"/>
  <c r="H18"/>
  <c r="F18"/>
  <c r="E18"/>
  <c r="H17"/>
  <c r="H16"/>
  <c r="F16"/>
  <c r="E16"/>
  <c r="H15"/>
  <c r="H14"/>
  <c r="F14"/>
  <c r="E14"/>
  <c r="F13"/>
  <c r="E13"/>
  <c r="F12"/>
  <c r="E12"/>
  <c r="H10"/>
  <c r="F10"/>
  <c r="E10"/>
  <c r="F8"/>
  <c r="H65" i="1"/>
  <c r="F65"/>
  <c r="H64"/>
  <c r="F64"/>
  <c r="H63"/>
  <c r="F63"/>
  <c r="H61"/>
  <c r="F61"/>
  <c r="J35"/>
  <c r="J33"/>
  <c r="J29"/>
  <c r="J27"/>
  <c r="H19"/>
  <c r="J19" s="1"/>
  <c r="G19"/>
  <c r="F19"/>
  <c r="E19"/>
  <c r="H18"/>
  <c r="J18" s="1"/>
  <c r="G18"/>
  <c r="G16" s="1"/>
  <c r="F18"/>
  <c r="E18"/>
  <c r="E25" s="1"/>
  <c r="H17"/>
  <c r="H16" s="1"/>
  <c r="J16" s="1"/>
  <c r="G17"/>
  <c r="F17"/>
  <c r="F24" s="1"/>
  <c r="E17"/>
  <c r="F16"/>
  <c r="E16"/>
  <c r="H15"/>
  <c r="J15" s="1"/>
  <c r="G15"/>
  <c r="F15"/>
  <c r="E15"/>
  <c r="H14"/>
  <c r="H20" s="1"/>
  <c r="J20" s="1"/>
  <c r="G14"/>
  <c r="F14"/>
  <c r="F20" s="1"/>
  <c r="E14"/>
  <c r="E20" s="1"/>
  <c r="J13"/>
  <c r="H13"/>
  <c r="G13"/>
  <c r="G26" s="1"/>
  <c r="F13"/>
  <c r="F26" s="1"/>
  <c r="E13"/>
  <c r="E26" s="1"/>
  <c r="H12"/>
  <c r="J12" s="1"/>
  <c r="G12"/>
  <c r="G25" s="1"/>
  <c r="F12"/>
  <c r="F25" s="1"/>
  <c r="E12"/>
  <c r="H11"/>
  <c r="H24" s="1"/>
  <c r="G11"/>
  <c r="G10" s="1"/>
  <c r="F11"/>
  <c r="E11"/>
  <c r="E24" s="1"/>
  <c r="H10"/>
  <c r="E10"/>
  <c r="E23" s="1"/>
  <c r="H9"/>
  <c r="J9" s="1"/>
  <c r="G9"/>
  <c r="G22" s="1"/>
  <c r="F9"/>
  <c r="F22" s="1"/>
  <c r="E9"/>
  <c r="E22" s="1"/>
  <c r="H8"/>
  <c r="H21" s="1"/>
  <c r="G8"/>
  <c r="G21" s="1"/>
  <c r="F8"/>
  <c r="F21" s="1"/>
  <c r="E8"/>
  <c r="E21" s="1"/>
  <c r="F35" i="2" l="1"/>
  <c r="H35" s="1"/>
  <c r="H8"/>
  <c r="F11"/>
  <c r="H12"/>
  <c r="H20"/>
  <c r="F23"/>
  <c r="F29"/>
  <c r="E42"/>
  <c r="E11"/>
  <c r="E9" s="1"/>
  <c r="H13"/>
  <c r="G23" i="1"/>
  <c r="J21"/>
  <c r="F28"/>
  <c r="F34" s="1"/>
  <c r="J24"/>
  <c r="J10"/>
  <c r="J8"/>
  <c r="F10"/>
  <c r="F23" s="1"/>
  <c r="J11"/>
  <c r="G20"/>
  <c r="H23"/>
  <c r="J23" s="1"/>
  <c r="G24"/>
  <c r="J14"/>
  <c r="J17"/>
  <c r="H22"/>
  <c r="H26"/>
  <c r="M9"/>
  <c r="M14" s="1"/>
  <c r="H25"/>
  <c r="F42" i="2" l="1"/>
  <c r="H29"/>
  <c r="E45"/>
  <c r="E31" s="1"/>
  <c r="F21"/>
  <c r="H21" s="1"/>
  <c r="H23"/>
  <c r="F9"/>
  <c r="H9" s="1"/>
  <c r="H11"/>
  <c r="H41" i="1"/>
  <c r="H28"/>
  <c r="J22"/>
  <c r="J26"/>
  <c r="F41"/>
  <c r="J25"/>
  <c r="E37" i="2" l="1"/>
  <c r="E52" s="1"/>
  <c r="F45"/>
  <c r="F31" s="1"/>
  <c r="E46"/>
  <c r="H44" i="1"/>
  <c r="F45"/>
  <c r="F44"/>
  <c r="H34"/>
  <c r="J28"/>
  <c r="H31" i="2" l="1"/>
  <c r="F37"/>
  <c r="H37" s="1"/>
  <c r="E32"/>
  <c r="F46"/>
  <c r="H30" i="1"/>
  <c r="H51" s="1"/>
  <c r="F30"/>
  <c r="F36" s="1"/>
  <c r="F67" s="1"/>
  <c r="F51"/>
  <c r="J34"/>
  <c r="H45"/>
  <c r="E38" i="2" l="1"/>
  <c r="E59" s="1"/>
  <c r="E33" s="1"/>
  <c r="E39" s="1"/>
  <c r="E30"/>
  <c r="F32"/>
  <c r="F52"/>
  <c r="H31" i="1"/>
  <c r="H36"/>
  <c r="J30"/>
  <c r="F31"/>
  <c r="F37" s="1"/>
  <c r="H32" i="2" l="1"/>
  <c r="F59"/>
  <c r="F33" s="1"/>
  <c r="F38"/>
  <c r="H38" s="1"/>
  <c r="F30"/>
  <c r="E28"/>
  <c r="J31" i="1"/>
  <c r="H37"/>
  <c r="J37" s="1"/>
  <c r="J36"/>
  <c r="H67"/>
  <c r="H58"/>
  <c r="H32" s="1"/>
  <c r="F58"/>
  <c r="F32" s="1"/>
  <c r="F38" s="1"/>
  <c r="H33" i="2" l="1"/>
  <c r="F39"/>
  <c r="H39" s="1"/>
  <c r="H30"/>
  <c r="F28"/>
  <c r="H28" s="1"/>
  <c r="J32" i="1"/>
  <c r="H38"/>
  <c r="J38" s="1"/>
</calcChain>
</file>

<file path=xl/sharedStrings.xml><?xml version="1.0" encoding="utf-8"?>
<sst xmlns="http://schemas.openxmlformats.org/spreadsheetml/2006/main" count="151" uniqueCount="69">
  <si>
    <t>ЗАО "Разрез Березовский"</t>
  </si>
  <si>
    <t>Таблица П1.24</t>
  </si>
  <si>
    <t>Расчет платы за услуги по содержанию электрических сетей</t>
  </si>
  <si>
    <t>№
п/п</t>
  </si>
  <si>
    <t>Единицы измерения</t>
  </si>
  <si>
    <t>Базовый период</t>
  </si>
  <si>
    <t>Период регулирования</t>
  </si>
  <si>
    <t>Темп роста</t>
  </si>
  <si>
    <t>всего</t>
  </si>
  <si>
    <t>из них
на сбыт</t>
  </si>
  <si>
    <t>Расходы, отнесенные на передачу электрической энергии (п. 10 табл. П1.18.2)</t>
  </si>
  <si>
    <t>тыс. руб.</t>
  </si>
  <si>
    <t>1.1</t>
  </si>
  <si>
    <t>ВН</t>
  </si>
  <si>
    <t>1.2</t>
  </si>
  <si>
    <t>СН</t>
  </si>
  <si>
    <t>в т.ч. СН1</t>
  </si>
  <si>
    <t xml:space="preserve">      СН11</t>
  </si>
  <si>
    <t>1.3</t>
  </si>
  <si>
    <t>НН</t>
  </si>
  <si>
    <t>2</t>
  </si>
  <si>
    <t>Прибыль, отнесенная на передачу электрической энергии (п. 8 табл. П1.21.3)</t>
  </si>
  <si>
    <t>2.1</t>
  </si>
  <si>
    <t>2.2</t>
  </si>
  <si>
    <t>2.3</t>
  </si>
  <si>
    <t>3</t>
  </si>
  <si>
    <t>Рентабельность (п. 2 / п. 1 * 100%)</t>
  </si>
  <si>
    <t>%</t>
  </si>
  <si>
    <t>4</t>
  </si>
  <si>
    <t>Необходимая валовая выручка, отнесенная на передачу электрической энергии (п. 1 + п. 2)</t>
  </si>
  <si>
    <t>4.1</t>
  </si>
  <si>
    <t>4.2</t>
  </si>
  <si>
    <t>4.3</t>
  </si>
  <si>
    <t>5</t>
  </si>
  <si>
    <t>Плата за услуги на содержание электрических сетей по диапазонам напряжения в расчете на 1 МВт согласно формулам (31) - (33)</t>
  </si>
  <si>
    <t>руб./МВт мес.</t>
  </si>
  <si>
    <t>5.1</t>
  </si>
  <si>
    <t>5.2</t>
  </si>
  <si>
    <t>5.3</t>
  </si>
  <si>
    <t>6</t>
  </si>
  <si>
    <t>Плата за услуги на содержание электрических сетей по диапазонам напряжения в расчете на 1 МВт·ч согласно формулам (34) - (36)</t>
  </si>
  <si>
    <t>руб./МВт·ч</t>
  </si>
  <si>
    <t>6.1</t>
  </si>
  <si>
    <t>6.2</t>
  </si>
  <si>
    <t>6.3</t>
  </si>
  <si>
    <t>Исполнительный директор</t>
  </si>
  <si>
    <t>А.И. Буйницкий</t>
  </si>
  <si>
    <t>Исп.Сотцкова Е.Н., тел. 65-2-75</t>
  </si>
  <si>
    <t>Дельта НВВ ВН - СН</t>
  </si>
  <si>
    <t>Дельта НВВ СН1 - СН2</t>
  </si>
  <si>
    <t>Дельта НВВ СН2 - НН</t>
  </si>
  <si>
    <t>проверка</t>
  </si>
  <si>
    <t>Таблица П1.25</t>
  </si>
  <si>
    <t>Расчет ставки по оплате технологического расхода (потерь)</t>
  </si>
  <si>
    <t>электрической энергии на ее передачу по сетям</t>
  </si>
  <si>
    <t>Средневзвешенный тариф на электрическую энергию</t>
  </si>
  <si>
    <t>Отпуск электрической энергии в сеть с учетом величины сальдо-перетока электроэнергии</t>
  </si>
  <si>
    <t>млн. кВт·ч</t>
  </si>
  <si>
    <t>СН11</t>
  </si>
  <si>
    <t>Потери электрической энергии</t>
  </si>
  <si>
    <t>3.1</t>
  </si>
  <si>
    <t>3.2</t>
  </si>
  <si>
    <t>3.3</t>
  </si>
  <si>
    <t>Полезный отпуск электрической энергии</t>
  </si>
  <si>
    <t>Расходы на компенсацию потерь</t>
  </si>
  <si>
    <t>Ставка на оплату технологического расхода (потерь) электрической энергии на ее передачу
по сетям</t>
  </si>
  <si>
    <t>Дельта З СН1-ВН</t>
  </si>
  <si>
    <t>Дельта З СН2-СН1</t>
  </si>
  <si>
    <t>Дельта З пот-СН2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</si>
</sst>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.0%"/>
    <numFmt numFmtId="165" formatCode="#,##0.0"/>
    <numFmt numFmtId="166" formatCode="&quot;$&quot;#,##0_);[Red]\(&quot;$&quot;#,##0\)"/>
    <numFmt numFmtId="167" formatCode="General_)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Times New Roman CYR"/>
      <charset val="204"/>
    </font>
    <font>
      <sz val="10"/>
      <name val="Helv"/>
    </font>
    <font>
      <sz val="10"/>
      <name val="NTHarmonica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5" fillId="0" borderId="10" applyBorder="0">
      <alignment horizontal="center" vertical="center" wrapText="1"/>
    </xf>
    <xf numFmtId="4" fontId="6" fillId="2" borderId="12" applyBorder="0">
      <alignment horizontal="right"/>
    </xf>
    <xf numFmtId="4" fontId="6" fillId="4" borderId="9" applyBorder="0">
      <alignment horizontal="right"/>
    </xf>
    <xf numFmtId="166" fontId="7" fillId="0" borderId="0" applyFont="0" applyFill="0" applyBorder="0" applyAlignment="0" applyProtection="0"/>
    <xf numFmtId="49" fontId="6" fillId="0" borderId="0" applyBorder="0">
      <alignment vertical="top"/>
    </xf>
    <xf numFmtId="0" fontId="8" fillId="0" borderId="0"/>
    <xf numFmtId="0" fontId="9" fillId="0" borderId="0" applyNumberFormat="0">
      <alignment horizontal="left"/>
    </xf>
    <xf numFmtId="167" fontId="10" fillId="0" borderId="14">
      <protection locked="0"/>
    </xf>
    <xf numFmtId="0" fontId="11" fillId="0" borderId="0" applyBorder="0">
      <alignment horizontal="center" vertical="center" wrapText="1"/>
    </xf>
    <xf numFmtId="167" fontId="12" fillId="5" borderId="14"/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0" fontId="15" fillId="3" borderId="0" applyFill="0">
      <alignment wrapText="1"/>
    </xf>
    <xf numFmtId="0" fontId="16" fillId="0" borderId="0"/>
    <xf numFmtId="0" fontId="17" fillId="0" borderId="0"/>
    <xf numFmtId="49" fontId="15" fillId="0" borderId="0">
      <alignment horizont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6" fillId="3" borderId="0" applyBorder="0">
      <alignment horizontal="right"/>
    </xf>
    <xf numFmtId="4" fontId="6" fillId="3" borderId="9" applyFont="0" applyBorder="0">
      <alignment horizontal="right"/>
    </xf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top"/>
    </xf>
    <xf numFmtId="3" fontId="2" fillId="0" borderId="9" xfId="0" applyNumberFormat="1" applyFont="1" applyBorder="1" applyAlignment="1">
      <alignment horizontal="center" vertical="top"/>
    </xf>
    <xf numFmtId="9" fontId="2" fillId="0" borderId="0" xfId="1" applyFont="1"/>
    <xf numFmtId="49" fontId="2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0" xfId="0" applyNumberFormat="1" applyFont="1"/>
    <xf numFmtId="0" fontId="2" fillId="0" borderId="5" xfId="0" applyFont="1" applyBorder="1" applyAlignment="1">
      <alignment horizontal="left" wrapText="1" indent="1"/>
    </xf>
    <xf numFmtId="164" fontId="2" fillId="0" borderId="9" xfId="0" applyNumberFormat="1" applyFont="1" applyBorder="1" applyAlignment="1">
      <alignment horizontal="center"/>
    </xf>
    <xf numFmtId="9" fontId="2" fillId="0" borderId="0" xfId="0" applyNumberFormat="1" applyFont="1"/>
    <xf numFmtId="165" fontId="2" fillId="0" borderId="9" xfId="0" applyNumberFormat="1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/>
    </xf>
    <xf numFmtId="0" fontId="4" fillId="0" borderId="0" xfId="0" applyFont="1"/>
    <xf numFmtId="0" fontId="3" fillId="0" borderId="11" xfId="2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top" wrapText="1"/>
    </xf>
    <xf numFmtId="4" fontId="2" fillId="3" borderId="9" xfId="3" applyFont="1" applyFill="1" applyBorder="1">
      <alignment horizontal="right"/>
    </xf>
    <xf numFmtId="0" fontId="3" fillId="0" borderId="9" xfId="2" applyFont="1" applyBorder="1" applyAlignment="1">
      <alignment horizontal="center" vertical="center" wrapText="1"/>
    </xf>
    <xf numFmtId="4" fontId="2" fillId="0" borderId="9" xfId="4" applyFont="1" applyFill="1" applyBorder="1">
      <alignment horizontal="right"/>
    </xf>
    <xf numFmtId="4" fontId="2" fillId="3" borderId="9" xfId="4" applyFont="1" applyFill="1" applyBorder="1">
      <alignment horizontal="right"/>
    </xf>
    <xf numFmtId="0" fontId="3" fillId="0" borderId="9" xfId="2" applyFont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top"/>
    </xf>
    <xf numFmtId="0" fontId="3" fillId="0" borderId="13" xfId="2" applyFont="1" applyBorder="1" applyAlignment="1">
      <alignment horizontal="center" vertical="center" wrapText="1"/>
    </xf>
    <xf numFmtId="4" fontId="2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9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/>
    </xf>
    <xf numFmtId="49" fontId="19" fillId="0" borderId="9" xfId="0" applyNumberFormat="1" applyFont="1" applyBorder="1" applyAlignment="1">
      <alignment horizontal="center" vertical="top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 wrapText="1"/>
    </xf>
    <xf numFmtId="0" fontId="19" fillId="0" borderId="9" xfId="0" applyFont="1" applyBorder="1" applyAlignment="1">
      <alignment horizontal="center" vertical="top"/>
    </xf>
    <xf numFmtId="165" fontId="19" fillId="6" borderId="9" xfId="0" applyNumberFormat="1" applyFont="1" applyFill="1" applyBorder="1" applyAlignment="1">
      <alignment horizontal="center" vertical="top"/>
    </xf>
    <xf numFmtId="9" fontId="19" fillId="0" borderId="0" xfId="1" applyFont="1"/>
    <xf numFmtId="165" fontId="19" fillId="0" borderId="9" xfId="0" applyNumberFormat="1" applyFont="1" applyFill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/>
    </xf>
    <xf numFmtId="164" fontId="19" fillId="0" borderId="9" xfId="1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 vertical="top"/>
    </xf>
    <xf numFmtId="3" fontId="19" fillId="0" borderId="9" xfId="0" applyNumberFormat="1" applyFont="1" applyFill="1" applyBorder="1" applyAlignment="1">
      <alignment horizontal="center"/>
    </xf>
    <xf numFmtId="165" fontId="19" fillId="0" borderId="9" xfId="0" applyNumberFormat="1" applyFont="1" applyFill="1" applyBorder="1" applyAlignment="1">
      <alignment horizontal="center" vertical="top"/>
    </xf>
    <xf numFmtId="0" fontId="20" fillId="0" borderId="9" xfId="2" applyFont="1" applyBorder="1" applyAlignment="1">
      <alignment vertical="center" wrapText="1"/>
    </xf>
    <xf numFmtId="4" fontId="19" fillId="3" borderId="9" xfId="20" applyFont="1" applyBorder="1">
      <alignment horizontal="right"/>
    </xf>
    <xf numFmtId="4" fontId="19" fillId="0" borderId="9" xfId="4" applyFont="1" applyFill="1" applyBorder="1">
      <alignment horizontal="right"/>
    </xf>
    <xf numFmtId="4" fontId="19" fillId="3" borderId="9" xfId="20" applyFont="1" applyFill="1" applyBorder="1">
      <alignment horizontal="right"/>
    </xf>
    <xf numFmtId="0" fontId="20" fillId="0" borderId="13" xfId="2" applyFont="1" applyBorder="1" applyAlignment="1">
      <alignment vertical="center" wrapText="1"/>
    </xf>
    <xf numFmtId="4" fontId="19" fillId="3" borderId="13" xfId="20" applyFont="1" applyBorder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9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0" fillId="0" borderId="9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</cellXfs>
  <cellStyles count="22">
    <cellStyle name="Currency [0]" xfId="5"/>
    <cellStyle name="Normal_Form2.1" xfId="6"/>
    <cellStyle name="Normal1" xfId="7"/>
    <cellStyle name="Price_Body" xfId="8"/>
    <cellStyle name="Беззащитный" xfId="9"/>
    <cellStyle name="Заголовок" xfId="10"/>
    <cellStyle name="ЗаголовокСтолбца" xfId="2"/>
    <cellStyle name="Защитный" xfId="11"/>
    <cellStyle name="Значение" xfId="4"/>
    <cellStyle name="Мой заголовок" xfId="12"/>
    <cellStyle name="Мой заголовок листа" xfId="13"/>
    <cellStyle name="Мои наименования показателей" xfId="14"/>
    <cellStyle name="Обычный" xfId="0" builtinId="0"/>
    <cellStyle name="Обычный 5" xfId="15"/>
    <cellStyle name="Процентный" xfId="1" builtinId="5"/>
    <cellStyle name="Стиль 1" xfId="16"/>
    <cellStyle name="Текстовый" xfId="17"/>
    <cellStyle name="Тысячи [0]_3Com" xfId="18"/>
    <cellStyle name="Тысячи_3Com" xfId="19"/>
    <cellStyle name="Формула" xfId="20"/>
    <cellStyle name="ФормулаВБ" xfId="3"/>
    <cellStyle name="ФормулаНаКонтроль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anevskiyAb\&#1056;&#1072;&#1073;&#1086;&#1095;&#1080;&#1081;%20&#1089;&#1090;&#1086;&#1083;\&#1096;&#1072;&#1073;&#1083;&#1086;&#1085;%20&#1056;&#1069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5;&#1072;&#1083;&#1080;&#1090;&#1080;&#1082;&#1072;\&#1056;&#1072;&#1089;&#1095;&#1077;&#1090;&#1099;%20&#1087;&#1086;%20&#1055;&#1045;\&#1056;&#1069;&#1050;\&#1064;&#1072;&#1073;&#1083;&#1086;&#1085;&#1099;\&#1096;&#1072;&#1073;&#1083;&#1086;&#1085;%20&#1056;&#1069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anevskiyAb\&#1056;&#1072;&#1073;&#1086;&#1095;&#1080;&#1081;%20&#1089;&#1090;&#1086;&#1083;\OREP.INV.N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3%20&#1075;&#1086;&#1076;\&#1056;&#1072;&#1089;&#1095;&#1077;&#1090;%20&#1090;&#1072;&#1088;&#1080;&#1092;&#1072;%20&#1087;&#1086;%20&#1101;&#1083;&#1101;&#1085;&#1077;&#1088;&#1075;&#1080;&#1080;%20&#1085;&#1072;%202014%20&#1075;&#1086;&#1076;\&#1041;&#1077;&#1088;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естр отгрузка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>
        <row r="15">
          <cell r="W15">
            <v>60.814220200000001</v>
          </cell>
        </row>
        <row r="17">
          <cell r="X17">
            <v>0.31586010373773377</v>
          </cell>
        </row>
        <row r="19">
          <cell r="U19">
            <v>61.784710691302948</v>
          </cell>
        </row>
        <row r="20">
          <cell r="U20">
            <v>4.0475773086970612</v>
          </cell>
        </row>
        <row r="23">
          <cell r="W23">
            <v>0.10562000000000001</v>
          </cell>
        </row>
        <row r="25">
          <cell r="W25">
            <v>58.847387952362268</v>
          </cell>
        </row>
        <row r="27">
          <cell r="W27">
            <v>58.847387952362268</v>
          </cell>
        </row>
        <row r="29">
          <cell r="U29">
            <v>2.394803</v>
          </cell>
          <cell r="V29">
            <v>0</v>
          </cell>
          <cell r="W29">
            <v>1.1663319999999999</v>
          </cell>
          <cell r="X29">
            <v>0.31464300000000001</v>
          </cell>
        </row>
      </sheetData>
      <sheetData sheetId="6" refreshError="1">
        <row r="15">
          <cell r="W15">
            <v>7.2143184428047737</v>
          </cell>
        </row>
        <row r="17">
          <cell r="X17">
            <v>4.015472821422808E-2</v>
          </cell>
        </row>
        <row r="19">
          <cell r="U19">
            <v>7.0726609589041098</v>
          </cell>
          <cell r="V19">
            <v>0</v>
          </cell>
          <cell r="W19">
            <v>0</v>
          </cell>
          <cell r="X19">
            <v>0</v>
          </cell>
        </row>
        <row r="20">
          <cell r="U20">
            <v>0.75142943574757293</v>
          </cell>
          <cell r="V20">
            <v>0</v>
          </cell>
          <cell r="W20">
            <v>0</v>
          </cell>
          <cell r="X20">
            <v>0</v>
          </cell>
        </row>
        <row r="21">
          <cell r="U21">
            <v>0.31177195184690931</v>
          </cell>
          <cell r="V21">
            <v>0</v>
          </cell>
          <cell r="W21">
            <v>4.4962707822935946E-2</v>
          </cell>
          <cell r="X21">
            <v>1.5472821422788508E-4</v>
          </cell>
        </row>
        <row r="23">
          <cell r="W23">
            <v>1.2057077625570777E-2</v>
          </cell>
        </row>
        <row r="25">
          <cell r="W25">
            <v>6.9621439291420391</v>
          </cell>
        </row>
        <row r="29">
          <cell r="U29">
            <v>0.29799999999999999</v>
          </cell>
          <cell r="V29">
            <v>0</v>
          </cell>
          <cell r="W29">
            <v>0.155</v>
          </cell>
          <cell r="X29">
            <v>0.04</v>
          </cell>
        </row>
      </sheetData>
      <sheetData sheetId="7">
        <row r="15">
          <cell r="H15">
            <v>390.98142000000007</v>
          </cell>
          <cell r="I15">
            <v>390.98142000000007</v>
          </cell>
        </row>
        <row r="18">
          <cell r="H18">
            <v>53.424120000000009</v>
          </cell>
          <cell r="I18">
            <v>53.424120000000009</v>
          </cell>
        </row>
        <row r="23">
          <cell r="H23">
            <v>1552.1000000000001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1247.3086335600001</v>
          </cell>
        </row>
        <row r="36">
          <cell r="H36">
            <v>5069.7293995675682</v>
          </cell>
        </row>
        <row r="50">
          <cell r="H50">
            <v>71.891809756097558</v>
          </cell>
        </row>
        <row r="53">
          <cell r="H53">
            <v>1969.6024796068511</v>
          </cell>
        </row>
        <row r="58">
          <cell r="H58">
            <v>244.6854532928065</v>
          </cell>
        </row>
        <row r="59">
          <cell r="H59">
            <v>0</v>
          </cell>
        </row>
        <row r="60">
          <cell r="H60">
            <v>55.431191084093214</v>
          </cell>
        </row>
        <row r="61">
          <cell r="H61">
            <v>1.186555623100304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368.78446867278433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H77">
            <v>188.08929266303318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H79">
            <v>180.69517600975112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H81">
            <v>1661.7195200000001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460.9805858409805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92.19611716819611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H85">
            <v>64.424470932121125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H87">
            <v>27.189627259329278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H88">
            <v>0.58201897674568492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460.98058584098044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322.12235466060565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135.9481362966464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2.9100948837284246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15723.504934251498</v>
          </cell>
          <cell r="I98">
            <v>444.40554000000009</v>
          </cell>
          <cell r="J98">
            <v>0</v>
          </cell>
          <cell r="K98">
            <v>2.8263770823254779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3.0203430003961844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12.254309823280725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20">
          <cell r="H120">
            <v>20</v>
          </cell>
        </row>
        <row r="121">
          <cell r="H121">
            <v>28.1</v>
          </cell>
        </row>
        <row r="124">
          <cell r="H124">
            <v>896.6</v>
          </cell>
        </row>
        <row r="125">
          <cell r="H125">
            <v>0</v>
          </cell>
        </row>
        <row r="126">
          <cell r="H126">
            <v>378.4</v>
          </cell>
        </row>
        <row r="127">
          <cell r="H127">
            <v>8.1</v>
          </cell>
        </row>
      </sheetData>
      <sheetData sheetId="8" refreshError="1"/>
      <sheetData sheetId="9">
        <row r="11">
          <cell r="H11">
            <v>18.475200000000001</v>
          </cell>
        </row>
        <row r="16">
          <cell r="H16">
            <v>18.475200000000001</v>
          </cell>
          <cell r="I16">
            <v>0</v>
          </cell>
        </row>
        <row r="18">
          <cell r="H18">
            <v>3781.0079999999998</v>
          </cell>
        </row>
        <row r="20">
          <cell r="H20">
            <v>1.9038044881153386</v>
          </cell>
        </row>
        <row r="23">
          <cell r="H23">
            <v>14.210531190234732</v>
          </cell>
        </row>
        <row r="26">
          <cell r="H26">
            <v>39.85284686843459</v>
          </cell>
        </row>
        <row r="29">
          <cell r="H29">
            <v>14.741134866720074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H41">
            <v>59.423645108819947</v>
          </cell>
        </row>
        <row r="45">
          <cell r="H45">
            <v>57.735000000000007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</row>
      </sheetData>
      <sheetData sheetId="10">
        <row r="24">
          <cell r="H24">
            <v>5398.3</v>
          </cell>
        </row>
      </sheetData>
      <sheetData sheetId="11"/>
      <sheetData sheetId="12"/>
      <sheetData sheetId="13"/>
      <sheetData sheetId="14" refreshError="1"/>
      <sheetData sheetId="15" refreshError="1"/>
      <sheetData sheetId="16"/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>
        <row r="15">
          <cell r="B15">
            <v>2007</v>
          </cell>
        </row>
      </sheetData>
      <sheetData sheetId="2">
        <row r="13">
          <cell r="E13" t="str">
            <v>Красноярский край</v>
          </cell>
        </row>
        <row r="21">
          <cell r="D21" t="str">
            <v>ОАО "СУЭК"</v>
          </cell>
          <cell r="I21" t="str">
            <v>1234567890</v>
          </cell>
        </row>
        <row r="27">
          <cell r="F27" t="str">
            <v>Предложение организации</v>
          </cell>
        </row>
      </sheetData>
      <sheetData sheetId="3" refreshError="1"/>
      <sheetData sheetId="4" refreshError="1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7.8240903946516829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14.709617100161042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6.9621439291420391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14961.221148410517</v>
          </cell>
          <cell r="I13">
            <v>444.40554000000009</v>
          </cell>
          <cell r="J13">
            <v>0</v>
          </cell>
          <cell r="K13">
            <v>2.9703828022568453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390.98142000000007</v>
          </cell>
          <cell r="I14">
            <v>390.98142000000007</v>
          </cell>
          <cell r="J14">
            <v>0</v>
          </cell>
          <cell r="K14">
            <v>100</v>
          </cell>
          <cell r="L14">
            <v>0</v>
          </cell>
          <cell r="M14">
            <v>0</v>
          </cell>
        </row>
        <row r="15">
          <cell r="H15">
            <v>390.98142000000007</v>
          </cell>
          <cell r="I15">
            <v>390.98142000000007</v>
          </cell>
          <cell r="J15">
            <v>0</v>
          </cell>
          <cell r="K15">
            <v>100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53.424120000000009</v>
          </cell>
          <cell r="I17">
            <v>53.424120000000009</v>
          </cell>
          <cell r="J17">
            <v>0</v>
          </cell>
          <cell r="K17">
            <v>100</v>
          </cell>
          <cell r="L17">
            <v>0</v>
          </cell>
          <cell r="M17">
            <v>0</v>
          </cell>
        </row>
        <row r="18">
          <cell r="H18">
            <v>53.424120000000009</v>
          </cell>
          <cell r="I18">
            <v>53.424120000000009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1661.7195200000001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109.61951999999997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1552.1000000000001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H23">
            <v>1552.1000000000001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4496.5637659200002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H28">
            <v>1247.3086335600001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7111.2236889305168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H36">
            <v>5069.7293995675682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2041.4942893629486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H50">
            <v>71.891809756097558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H53">
            <v>1969.6024796068511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301.30320000000006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301.30320000000006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H58">
            <v>244.6854532928065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H60">
            <v>55.431191084093214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H61">
            <v>1.186555623100304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15262.524348410518</v>
          </cell>
          <cell r="I64">
            <v>444.40554000000009</v>
          </cell>
          <cell r="J64">
            <v>0</v>
          </cell>
          <cell r="K64">
            <v>2.9117433646962976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11166.762868665632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4009.9253400658872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85.836139679000226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H120">
            <v>20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H121">
            <v>28.1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1283.0999999999999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H124">
            <v>896.6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H126">
            <v>378.4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H127">
            <v>8.1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/>
      <sheetData sheetId="9" refreshError="1"/>
      <sheetData sheetId="10">
        <row r="9">
          <cell r="H9">
            <v>14881.3</v>
          </cell>
        </row>
        <row r="54">
          <cell r="H54">
            <v>17580.449999999997</v>
          </cell>
        </row>
        <row r="69">
          <cell r="H69">
            <v>9.452087517668776</v>
          </cell>
        </row>
      </sheetData>
      <sheetData sheetId="11"/>
      <sheetData sheetId="12">
        <row r="8">
          <cell r="E8">
            <v>0</v>
          </cell>
          <cell r="F8">
            <v>0</v>
          </cell>
          <cell r="G8">
            <v>0</v>
          </cell>
          <cell r="H8">
            <v>15262.524348410519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11166.762868665632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4009.9253400658872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4009.9253400658872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85.836139679000226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460.9805858409805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322.12235466060565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135.9481362966464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135.9481362966464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2.9100948837284246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3.0203430003961844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15723.504934251499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11488.885223326237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4145.8734763625334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4145.8734763625334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88.746234562728645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14.709617100161042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7.1972986573562672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7.1972986573562672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4.0000000000000195E-2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127444.95713714696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176731.19729053724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362302.81852676393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190.30507591749199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251.5067625639175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552.70688651216358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11033.1420566038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11033.1420566038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85.159118330118872</v>
          </cell>
          <cell r="I66">
            <v>0</v>
          </cell>
          <cell r="J66">
            <v>0</v>
          </cell>
        </row>
      </sheetData>
      <sheetData sheetId="13">
        <row r="8">
          <cell r="H8">
            <v>321.23500000000001</v>
          </cell>
        </row>
      </sheetData>
      <sheetData sheetId="14" refreshError="1"/>
      <sheetData sheetId="15" refreshError="1"/>
      <sheetData sheetId="16" refreshError="1"/>
      <sheetData sheetId="17"/>
      <sheetData sheetId="18">
        <row r="5">
          <cell r="C5" t="str">
            <v>_________</v>
          </cell>
          <cell r="D5" t="str">
            <v>200_ г.</v>
          </cell>
        </row>
      </sheetData>
      <sheetData sheetId="19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вестиции"/>
      <sheetName val="2.1"/>
      <sheetName val="2.2"/>
      <sheetName val="2.1_Т"/>
      <sheetName val="2.2_Т"/>
      <sheetName val="1.3"/>
      <sheetName val="1.4"/>
      <sheetName val="1.5"/>
      <sheetName val="1.6"/>
      <sheetName val="1.15"/>
      <sheetName val="1.16"/>
      <sheetName val="1.17"/>
      <sheetName val="1.17.1"/>
      <sheetName val="20"/>
      <sheetName val="1.18.2"/>
      <sheetName val="20.1"/>
      <sheetName val="20.1.3"/>
      <sheetName val="1.21.3"/>
      <sheetName val="1.24"/>
      <sheetName val="1.25"/>
      <sheetName val="Свод У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I7">
            <v>60.879331999999991</v>
          </cell>
          <cell r="J7">
            <v>56.046446999999993</v>
          </cell>
          <cell r="K7">
            <v>56.046446999999993</v>
          </cell>
          <cell r="L7">
            <v>0.303954</v>
          </cell>
          <cell r="N7">
            <v>61.286410000000004</v>
          </cell>
          <cell r="O7">
            <v>56.545155000000001</v>
          </cell>
          <cell r="P7">
            <v>56.545155000000001</v>
          </cell>
          <cell r="Q7">
            <v>0.55965399999999998</v>
          </cell>
        </row>
        <row r="9">
          <cell r="J9">
            <v>56.046446999999993</v>
          </cell>
          <cell r="O9">
            <v>56.545155000000001</v>
          </cell>
        </row>
        <row r="17">
          <cell r="I17">
            <v>4.3811370992047023E-2</v>
          </cell>
          <cell r="J17">
            <v>0</v>
          </cell>
          <cell r="K17">
            <v>2.5486896609164186E-3</v>
          </cell>
          <cell r="L17">
            <v>5.4810925337386573E-3</v>
          </cell>
          <cell r="N17">
            <v>4.4035341603464777E-2</v>
          </cell>
          <cell r="O17">
            <v>0</v>
          </cell>
          <cell r="P17">
            <v>2.5635087568510509E-3</v>
          </cell>
          <cell r="Q17">
            <v>8.4141273000818365E-3</v>
          </cell>
        </row>
        <row r="19">
          <cell r="I19">
            <v>2.1656780000000002</v>
          </cell>
          <cell r="J19">
            <v>0</v>
          </cell>
          <cell r="K19">
            <v>55.503848999999995</v>
          </cell>
          <cell r="L19">
            <v>0.302288</v>
          </cell>
          <cell r="N19">
            <v>2.0424869999999999</v>
          </cell>
          <cell r="O19">
            <v>0</v>
          </cell>
          <cell r="P19">
            <v>55.744748000000001</v>
          </cell>
          <cell r="Q19">
            <v>0.55494500000000002</v>
          </cell>
        </row>
      </sheetData>
      <sheetData sheetId="8">
        <row r="7">
          <cell r="I7">
            <v>7.1022990000000004</v>
          </cell>
          <cell r="J7">
            <v>6.4871470000000002</v>
          </cell>
          <cell r="K7">
            <v>6.4871470000000002</v>
          </cell>
          <cell r="L7">
            <v>0.11864999999999999</v>
          </cell>
          <cell r="N7">
            <v>7.0669909999999998</v>
          </cell>
          <cell r="O7">
            <v>6.4627609999999995</v>
          </cell>
          <cell r="P7">
            <v>6.4627609999999995</v>
          </cell>
          <cell r="Q7">
            <v>7.4628E-2</v>
          </cell>
        </row>
        <row r="9">
          <cell r="J9">
            <v>6.4871470000000002</v>
          </cell>
          <cell r="O9">
            <v>6.4627609999999995</v>
          </cell>
        </row>
        <row r="16">
          <cell r="I16">
            <v>0.31115199999999998</v>
          </cell>
          <cell r="K16">
            <v>1.6542000000000001E-2</v>
          </cell>
          <cell r="L16">
            <v>6.4999999999999997E-4</v>
          </cell>
          <cell r="N16">
            <v>0.31123000000000001</v>
          </cell>
          <cell r="P16">
            <v>1.6545000000000001E-2</v>
          </cell>
          <cell r="Q16">
            <v>6.2799999999999998E-4</v>
          </cell>
        </row>
        <row r="18">
          <cell r="K18">
            <v>1.1E-5</v>
          </cell>
          <cell r="P18">
            <v>1.1E-5</v>
          </cell>
        </row>
        <row r="19">
          <cell r="I19">
            <v>0.30399999999999999</v>
          </cell>
          <cell r="J19">
            <v>0</v>
          </cell>
          <cell r="K19">
            <v>6.3519440000000005</v>
          </cell>
          <cell r="L19">
            <v>0.11799999999999999</v>
          </cell>
          <cell r="N19">
            <v>0.29299999999999998</v>
          </cell>
          <cell r="O19">
            <v>0</v>
          </cell>
          <cell r="P19">
            <v>6.3715770000000003</v>
          </cell>
          <cell r="Q19">
            <v>7.3999999999999996E-2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37">
          <cell r="E37">
            <v>27586.805361842627</v>
          </cell>
          <cell r="F37">
            <v>1523.3875690611883</v>
          </cell>
          <cell r="G37">
            <v>29095.033427185186</v>
          </cell>
          <cell r="H37">
            <v>1306.9084075619123</v>
          </cell>
        </row>
        <row r="39">
          <cell r="E39">
            <v>20931.728779568217</v>
          </cell>
          <cell r="F39">
            <v>1155.879023329114</v>
          </cell>
          <cell r="G39">
            <v>22050.53143704285</v>
          </cell>
          <cell r="H39">
            <v>990.47973936055314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6653.1452233339242</v>
          </cell>
          <cell r="F41">
            <v>367.40191341113876</v>
          </cell>
          <cell r="G41">
            <v>7042.4547705944606</v>
          </cell>
          <cell r="H41">
            <v>316.33672813441189</v>
          </cell>
        </row>
        <row r="42">
          <cell r="E42">
            <v>1.9313589404907912</v>
          </cell>
          <cell r="F42">
            <v>0.10663232093566692</v>
          </cell>
          <cell r="G42">
            <v>2.0472195478777109</v>
          </cell>
          <cell r="H42">
            <v>9.1940066947219012E-2</v>
          </cell>
        </row>
      </sheetData>
      <sheetData sheetId="16"/>
      <sheetData sheetId="17"/>
      <sheetData sheetId="18">
        <row r="41">
          <cell r="D41">
            <v>858.2796333205813</v>
          </cell>
          <cell r="E41">
            <v>47.385618555629279</v>
          </cell>
          <cell r="F41">
            <v>859.85241131981593</v>
          </cell>
          <cell r="G41">
            <v>38.624570316486128</v>
          </cell>
        </row>
        <row r="43">
          <cell r="D43">
            <v>658.70008698060349</v>
          </cell>
          <cell r="E43">
            <v>36.366831802199101</v>
          </cell>
          <cell r="F43">
            <v>651.33609219943946</v>
          </cell>
          <cell r="G43">
            <v>29.258017261598816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D45">
            <v>198.92435951799311</v>
          </cell>
          <cell r="E45">
            <v>10.982613888988395</v>
          </cell>
          <cell r="F45">
            <v>207.95782108907261</v>
          </cell>
          <cell r="G45">
            <v>9.3414653233211418</v>
          </cell>
        </row>
        <row r="46">
          <cell r="D46">
            <v>0.65518682198480127</v>
          </cell>
          <cell r="E46">
            <v>3.6172864441780882E-2</v>
          </cell>
          <cell r="F46">
            <v>0.55849803130388942</v>
          </cell>
          <cell r="G46">
            <v>2.508773156617071E-2</v>
          </cell>
        </row>
      </sheetData>
      <sheetData sheetId="19"/>
      <sheetData sheetId="20"/>
      <sheetData sheetId="21">
        <row r="6">
          <cell r="B6">
            <v>0.74446070292410926</v>
          </cell>
          <cell r="C6">
            <v>0</v>
          </cell>
          <cell r="D6">
            <v>0.25546399573106449</v>
          </cell>
          <cell r="E6">
            <v>7.5301344826239831E-5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Zeros="0" tabSelected="1" view="pageBreakPreview" topLeftCell="A4" zoomScale="85" zoomScaleNormal="85" zoomScaleSheetLayoutView="85" workbookViewId="0">
      <selection activeCell="H8" sqref="H8"/>
    </sheetView>
  </sheetViews>
  <sheetFormatPr defaultRowHeight="12.75"/>
  <cols>
    <col min="1" max="1" width="6.28515625" style="1" customWidth="1"/>
    <col min="2" max="2" width="9.140625" style="1" hidden="1" customWidth="1"/>
    <col min="3" max="3" width="27" style="1" customWidth="1"/>
    <col min="4" max="4" width="11.42578125" style="1" customWidth="1"/>
    <col min="5" max="5" width="12" style="1" hidden="1" customWidth="1"/>
    <col min="6" max="6" width="12" style="1" customWidth="1"/>
    <col min="7" max="7" width="12" style="1" hidden="1" customWidth="1"/>
    <col min="8" max="8" width="12" style="1" customWidth="1"/>
    <col min="9" max="16384" width="9.140625" style="1"/>
  </cols>
  <sheetData>
    <row r="1" spans="1:13">
      <c r="A1" s="1" t="s">
        <v>0</v>
      </c>
      <c r="H1" s="2" t="s">
        <v>1</v>
      </c>
    </row>
    <row r="3" spans="1:13">
      <c r="A3" s="56" t="s">
        <v>2</v>
      </c>
      <c r="B3" s="56"/>
      <c r="C3" s="56"/>
      <c r="D3" s="56"/>
      <c r="E3" s="56"/>
      <c r="F3" s="56"/>
      <c r="G3" s="56"/>
      <c r="H3" s="56"/>
    </row>
    <row r="5" spans="1:13" ht="35.25" customHeight="1">
      <c r="A5" s="57" t="s">
        <v>3</v>
      </c>
      <c r="B5" s="59"/>
      <c r="C5" s="60"/>
      <c r="D5" s="57" t="s">
        <v>4</v>
      </c>
      <c r="E5" s="64" t="s">
        <v>5</v>
      </c>
      <c r="F5" s="65"/>
      <c r="G5" s="64" t="s">
        <v>6</v>
      </c>
      <c r="H5" s="65"/>
      <c r="J5" s="1" t="s">
        <v>7</v>
      </c>
    </row>
    <row r="6" spans="1:13" ht="25.5">
      <c r="A6" s="58"/>
      <c r="B6" s="61"/>
      <c r="C6" s="62"/>
      <c r="D6" s="63"/>
      <c r="E6" s="3" t="s">
        <v>8</v>
      </c>
      <c r="F6" s="3" t="s">
        <v>9</v>
      </c>
      <c r="G6" s="3" t="s">
        <v>8</v>
      </c>
      <c r="H6" s="3" t="s">
        <v>9</v>
      </c>
    </row>
    <row r="7" spans="1:13">
      <c r="A7" s="4">
        <v>1</v>
      </c>
      <c r="B7" s="53">
        <v>2</v>
      </c>
      <c r="C7" s="54"/>
      <c r="D7" s="4">
        <v>3</v>
      </c>
      <c r="E7" s="4">
        <v>4</v>
      </c>
      <c r="F7" s="4">
        <v>5</v>
      </c>
      <c r="G7" s="4">
        <v>6</v>
      </c>
      <c r="H7" s="4">
        <v>7</v>
      </c>
    </row>
    <row r="8" spans="1:13" ht="38.25">
      <c r="A8" s="5">
        <v>1</v>
      </c>
      <c r="B8" s="6"/>
      <c r="C8" s="7" t="s">
        <v>10</v>
      </c>
      <c r="D8" s="8" t="s">
        <v>11</v>
      </c>
      <c r="E8" s="9">
        <f>'[4]1.18.2'!E37</f>
        <v>27586.805361842627</v>
      </c>
      <c r="F8" s="9">
        <f>'[4]1.18.2'!F37</f>
        <v>1523.3875690611883</v>
      </c>
      <c r="G8" s="9">
        <f>'[4]1.18.2'!G37</f>
        <v>29095.033427185186</v>
      </c>
      <c r="H8" s="9">
        <f>'[4]1.18.2'!H37</f>
        <v>1306.9084075619123</v>
      </c>
      <c r="J8" s="10">
        <f>H8/F8</f>
        <v>0.85789620061512994</v>
      </c>
    </row>
    <row r="9" spans="1:13">
      <c r="A9" s="11" t="s">
        <v>12</v>
      </c>
      <c r="B9" s="6"/>
      <c r="C9" s="7" t="s">
        <v>13</v>
      </c>
      <c r="D9" s="4"/>
      <c r="E9" s="12">
        <f>'[4]1.18.2'!E39</f>
        <v>20931.728779568217</v>
      </c>
      <c r="F9" s="12">
        <f>'[4]1.18.2'!F39</f>
        <v>1155.879023329114</v>
      </c>
      <c r="G9" s="12">
        <f>'[4]1.18.2'!G39</f>
        <v>22050.53143704285</v>
      </c>
      <c r="H9" s="12">
        <f>'[4]1.18.2'!H39</f>
        <v>990.47973936055314</v>
      </c>
      <c r="J9" s="10">
        <f t="shared" ref="J9:J38" si="0">H9/F9</f>
        <v>0.85690605969110434</v>
      </c>
      <c r="M9" s="13">
        <f>F9</f>
        <v>1155.879023329114</v>
      </c>
    </row>
    <row r="10" spans="1:13">
      <c r="A10" s="11" t="s">
        <v>14</v>
      </c>
      <c r="B10" s="6"/>
      <c r="C10" s="7" t="s">
        <v>15</v>
      </c>
      <c r="D10" s="4"/>
      <c r="E10" s="12">
        <f>E11+E12</f>
        <v>6653.1452233339242</v>
      </c>
      <c r="F10" s="12">
        <f>F11+F12</f>
        <v>367.40191341113876</v>
      </c>
      <c r="G10" s="12">
        <f>G11+G12</f>
        <v>7042.4547705944606</v>
      </c>
      <c r="H10" s="12">
        <f>H11+H12</f>
        <v>316.33672813441189</v>
      </c>
      <c r="J10" s="10">
        <f t="shared" si="0"/>
        <v>0.86101001814984368</v>
      </c>
    </row>
    <row r="11" spans="1:13">
      <c r="A11" s="11"/>
      <c r="B11" s="6"/>
      <c r="C11" s="7" t="s">
        <v>16</v>
      </c>
      <c r="D11" s="4"/>
      <c r="E11" s="12">
        <f>'[4]1.18.2'!E40</f>
        <v>0</v>
      </c>
      <c r="F11" s="12">
        <f>'[4]1.18.2'!F40</f>
        <v>0</v>
      </c>
      <c r="G11" s="12">
        <f>'[4]1.18.2'!G40</f>
        <v>0</v>
      </c>
      <c r="H11" s="12">
        <f>'[4]1.18.2'!H40</f>
        <v>0</v>
      </c>
      <c r="J11" s="10" t="e">
        <f t="shared" si="0"/>
        <v>#DIV/0!</v>
      </c>
    </row>
    <row r="12" spans="1:13">
      <c r="A12" s="11"/>
      <c r="B12" s="6"/>
      <c r="C12" s="14" t="s">
        <v>17</v>
      </c>
      <c r="D12" s="4"/>
      <c r="E12" s="12">
        <f>'[4]1.18.2'!E41</f>
        <v>6653.1452233339242</v>
      </c>
      <c r="F12" s="12">
        <f>'[4]1.18.2'!F41</f>
        <v>367.40191341113876</v>
      </c>
      <c r="G12" s="12">
        <f>'[4]1.18.2'!G41</f>
        <v>7042.4547705944606</v>
      </c>
      <c r="H12" s="12">
        <f>'[4]1.18.2'!H41</f>
        <v>316.33672813441189</v>
      </c>
      <c r="J12" s="10">
        <f t="shared" si="0"/>
        <v>0.86101001814984368</v>
      </c>
    </row>
    <row r="13" spans="1:13">
      <c r="A13" s="11" t="s">
        <v>18</v>
      </c>
      <c r="B13" s="6"/>
      <c r="C13" s="7" t="s">
        <v>19</v>
      </c>
      <c r="D13" s="4"/>
      <c r="E13" s="12">
        <f>'[4]1.18.2'!E42</f>
        <v>1.9313589404907912</v>
      </c>
      <c r="F13" s="12">
        <f>'[4]1.18.2'!F42</f>
        <v>0.10663232093566692</v>
      </c>
      <c r="G13" s="12">
        <f>'[4]1.18.2'!G42</f>
        <v>2.0472195478777109</v>
      </c>
      <c r="H13" s="12">
        <f>'[4]1.18.2'!H42</f>
        <v>9.1940066947219012E-2</v>
      </c>
      <c r="J13" s="10">
        <f t="shared" si="0"/>
        <v>0.86221575353956714</v>
      </c>
    </row>
    <row r="14" spans="1:13" ht="38.25">
      <c r="A14" s="5" t="s">
        <v>20</v>
      </c>
      <c r="B14" s="6"/>
      <c r="C14" s="7" t="s">
        <v>21</v>
      </c>
      <c r="D14" s="8" t="s">
        <v>11</v>
      </c>
      <c r="E14" s="12">
        <f>'[4]1.21.3'!D41</f>
        <v>858.2796333205813</v>
      </c>
      <c r="F14" s="12">
        <f>'[4]1.21.3'!E41</f>
        <v>47.385618555629279</v>
      </c>
      <c r="G14" s="12">
        <f>'[4]1.21.3'!F41</f>
        <v>859.85241131981593</v>
      </c>
      <c r="H14" s="12">
        <f>'[4]1.21.3'!G41</f>
        <v>38.624570316486128</v>
      </c>
      <c r="J14" s="10">
        <f t="shared" si="0"/>
        <v>0.81511166243703359</v>
      </c>
      <c r="M14" s="1">
        <f>M9*M20</f>
        <v>69.352741399746833</v>
      </c>
    </row>
    <row r="15" spans="1:13">
      <c r="A15" s="11" t="s">
        <v>22</v>
      </c>
      <c r="B15" s="6"/>
      <c r="C15" s="7" t="s">
        <v>13</v>
      </c>
      <c r="D15" s="4"/>
      <c r="E15" s="12">
        <f>'[4]1.21.3'!D43</f>
        <v>658.70008698060349</v>
      </c>
      <c r="F15" s="12">
        <f>'[4]1.21.3'!E43</f>
        <v>36.366831802199101</v>
      </c>
      <c r="G15" s="12">
        <f>'[4]1.21.3'!F43</f>
        <v>651.33609219943946</v>
      </c>
      <c r="H15" s="12">
        <f>'[4]1.21.3'!G43</f>
        <v>29.258017261598816</v>
      </c>
      <c r="J15" s="10">
        <f t="shared" si="0"/>
        <v>0.80452477743275908</v>
      </c>
    </row>
    <row r="16" spans="1:13">
      <c r="A16" s="11" t="s">
        <v>23</v>
      </c>
      <c r="B16" s="6"/>
      <c r="C16" s="7" t="s">
        <v>15</v>
      </c>
      <c r="D16" s="4"/>
      <c r="E16" s="12">
        <f>E17+E18</f>
        <v>198.92435951799311</v>
      </c>
      <c r="F16" s="12">
        <f>F17+F18</f>
        <v>10.982613888988395</v>
      </c>
      <c r="G16" s="12">
        <f>G17+G18</f>
        <v>207.95782108907261</v>
      </c>
      <c r="H16" s="12">
        <f>H17+H18</f>
        <v>9.3414653233211418</v>
      </c>
      <c r="J16" s="10">
        <f t="shared" si="0"/>
        <v>0.85056849104813437</v>
      </c>
    </row>
    <row r="17" spans="1:13">
      <c r="A17" s="11"/>
      <c r="B17" s="6"/>
      <c r="C17" s="7" t="s">
        <v>16</v>
      </c>
      <c r="D17" s="4"/>
      <c r="E17" s="12">
        <f>'[4]1.21.3'!D44</f>
        <v>0</v>
      </c>
      <c r="F17" s="12">
        <f>'[4]1.21.3'!E44</f>
        <v>0</v>
      </c>
      <c r="G17" s="12">
        <f>'[4]1.21.3'!F44</f>
        <v>0</v>
      </c>
      <c r="H17" s="12">
        <f>'[4]1.21.3'!G44</f>
        <v>0</v>
      </c>
      <c r="J17" s="10" t="e">
        <f t="shared" si="0"/>
        <v>#DIV/0!</v>
      </c>
    </row>
    <row r="18" spans="1:13">
      <c r="A18" s="11"/>
      <c r="B18" s="6"/>
      <c r="C18" s="14" t="s">
        <v>17</v>
      </c>
      <c r="D18" s="4"/>
      <c r="E18" s="12">
        <f>'[4]1.21.3'!D45</f>
        <v>198.92435951799311</v>
      </c>
      <c r="F18" s="12">
        <f>'[4]1.21.3'!E45</f>
        <v>10.982613888988395</v>
      </c>
      <c r="G18" s="12">
        <f>'[4]1.21.3'!F45</f>
        <v>207.95782108907261</v>
      </c>
      <c r="H18" s="12">
        <f>'[4]1.21.3'!G45</f>
        <v>9.3414653233211418</v>
      </c>
      <c r="J18" s="10">
        <f>H18/F18</f>
        <v>0.85056849104813437</v>
      </c>
    </row>
    <row r="19" spans="1:13">
      <c r="A19" s="11" t="s">
        <v>24</v>
      </c>
      <c r="B19" s="6"/>
      <c r="C19" s="7" t="s">
        <v>19</v>
      </c>
      <c r="D19" s="4"/>
      <c r="E19" s="12">
        <f>'[4]1.21.3'!D46</f>
        <v>0.65518682198480127</v>
      </c>
      <c r="F19" s="12">
        <f>'[4]1.21.3'!E46</f>
        <v>3.6172864441780882E-2</v>
      </c>
      <c r="G19" s="12">
        <f>'[4]1.21.3'!F46</f>
        <v>0.55849803130388942</v>
      </c>
      <c r="H19" s="12">
        <f>'[4]1.21.3'!G46</f>
        <v>2.508773156617071E-2</v>
      </c>
      <c r="J19" s="10">
        <f t="shared" si="0"/>
        <v>0.6935511454048281</v>
      </c>
    </row>
    <row r="20" spans="1:13" ht="25.5">
      <c r="A20" s="11" t="s">
        <v>25</v>
      </c>
      <c r="B20" s="6"/>
      <c r="C20" s="7" t="s">
        <v>26</v>
      </c>
      <c r="D20" s="4" t="s">
        <v>27</v>
      </c>
      <c r="E20" s="15">
        <f>IF(ISERR(E14/E8),,E14/E8)</f>
        <v>3.1111961753561072E-2</v>
      </c>
      <c r="F20" s="15">
        <f>IF(ISERR(F14/F8),,F14/F8)</f>
        <v>3.1105425512190189E-2</v>
      </c>
      <c r="G20" s="15">
        <f>IF(ISERR(G14/G8),,G14/G8)</f>
        <v>2.9553236756772572E-2</v>
      </c>
      <c r="H20" s="15">
        <f>IF(ISERR(H14/H8),,H14/H8)</f>
        <v>2.9554152450929398E-2</v>
      </c>
      <c r="J20" s="10">
        <f t="shared" si="0"/>
        <v>0.95012853752304893</v>
      </c>
      <c r="M20" s="16">
        <v>0.06</v>
      </c>
    </row>
    <row r="21" spans="1:13" ht="51">
      <c r="A21" s="5" t="s">
        <v>28</v>
      </c>
      <c r="B21" s="6"/>
      <c r="C21" s="7" t="s">
        <v>29</v>
      </c>
      <c r="D21" s="8" t="s">
        <v>11</v>
      </c>
      <c r="E21" s="9">
        <f t="shared" ref="E21:H26" si="1">E8+E14</f>
        <v>28445.084995163208</v>
      </c>
      <c r="F21" s="9">
        <f>F8+F14</f>
        <v>1570.7731876168175</v>
      </c>
      <c r="G21" s="9">
        <f t="shared" si="1"/>
        <v>29954.885838505001</v>
      </c>
      <c r="H21" s="9">
        <f t="shared" si="1"/>
        <v>1345.5329778783985</v>
      </c>
      <c r="J21" s="10">
        <f t="shared" si="0"/>
        <v>0.85660551662448847</v>
      </c>
    </row>
    <row r="22" spans="1:13">
      <c r="A22" s="11" t="s">
        <v>30</v>
      </c>
      <c r="B22" s="6"/>
      <c r="C22" s="7" t="s">
        <v>13</v>
      </c>
      <c r="D22" s="4"/>
      <c r="E22" s="12">
        <f t="shared" si="1"/>
        <v>21590.42886654882</v>
      </c>
      <c r="F22" s="12">
        <f t="shared" si="1"/>
        <v>1192.2458551313132</v>
      </c>
      <c r="G22" s="12">
        <f t="shared" si="1"/>
        <v>22701.867529242289</v>
      </c>
      <c r="H22" s="12">
        <f t="shared" si="1"/>
        <v>1019.737756622152</v>
      </c>
      <c r="J22" s="10">
        <f t="shared" si="0"/>
        <v>0.85530828413728366</v>
      </c>
    </row>
    <row r="23" spans="1:13">
      <c r="A23" s="11" t="s">
        <v>31</v>
      </c>
      <c r="B23" s="6"/>
      <c r="C23" s="7" t="s">
        <v>15</v>
      </c>
      <c r="D23" s="4"/>
      <c r="E23" s="12">
        <f t="shared" si="1"/>
        <v>6852.0695828519174</v>
      </c>
      <c r="F23" s="12">
        <f t="shared" si="1"/>
        <v>378.38452730012716</v>
      </c>
      <c r="G23" s="12">
        <f t="shared" si="1"/>
        <v>7250.4125916835328</v>
      </c>
      <c r="H23" s="12">
        <f t="shared" si="1"/>
        <v>325.67819345773302</v>
      </c>
      <c r="J23" s="10">
        <f t="shared" si="0"/>
        <v>0.86070695274337017</v>
      </c>
    </row>
    <row r="24" spans="1:13">
      <c r="A24" s="11"/>
      <c r="B24" s="6"/>
      <c r="C24" s="7" t="s">
        <v>16</v>
      </c>
      <c r="D24" s="4"/>
      <c r="E24" s="12">
        <f t="shared" si="1"/>
        <v>0</v>
      </c>
      <c r="F24" s="12">
        <f t="shared" si="1"/>
        <v>0</v>
      </c>
      <c r="G24" s="12">
        <f t="shared" si="1"/>
        <v>0</v>
      </c>
      <c r="H24" s="12">
        <f t="shared" si="1"/>
        <v>0</v>
      </c>
      <c r="J24" s="10" t="e">
        <f t="shared" si="0"/>
        <v>#DIV/0!</v>
      </c>
    </row>
    <row r="25" spans="1:13">
      <c r="A25" s="11"/>
      <c r="B25" s="6"/>
      <c r="C25" s="14" t="s">
        <v>17</v>
      </c>
      <c r="D25" s="4"/>
      <c r="E25" s="12">
        <f t="shared" si="1"/>
        <v>6852.0695828519174</v>
      </c>
      <c r="F25" s="12">
        <f t="shared" si="1"/>
        <v>378.38452730012716</v>
      </c>
      <c r="G25" s="12">
        <f t="shared" si="1"/>
        <v>7250.4125916835328</v>
      </c>
      <c r="H25" s="12">
        <f t="shared" si="1"/>
        <v>325.67819345773302</v>
      </c>
      <c r="J25" s="10">
        <f t="shared" si="0"/>
        <v>0.86070695274337017</v>
      </c>
    </row>
    <row r="26" spans="1:13">
      <c r="A26" s="11" t="s">
        <v>32</v>
      </c>
      <c r="B26" s="6"/>
      <c r="C26" s="7" t="s">
        <v>19</v>
      </c>
      <c r="D26" s="4"/>
      <c r="E26" s="12">
        <f t="shared" si="1"/>
        <v>2.5865457624755925</v>
      </c>
      <c r="F26" s="12">
        <f t="shared" si="1"/>
        <v>0.1428051853774478</v>
      </c>
      <c r="G26" s="12">
        <f t="shared" si="1"/>
        <v>2.6057175791816003</v>
      </c>
      <c r="H26" s="12">
        <f t="shared" si="1"/>
        <v>0.11702779851338972</v>
      </c>
      <c r="J26" s="10">
        <f t="shared" si="0"/>
        <v>0.81949264099951291</v>
      </c>
    </row>
    <row r="27" spans="1:13" ht="63.75">
      <c r="A27" s="5" t="s">
        <v>33</v>
      </c>
      <c r="B27" s="6"/>
      <c r="C27" s="7" t="s">
        <v>34</v>
      </c>
      <c r="D27" s="3" t="s">
        <v>35</v>
      </c>
      <c r="E27" s="17"/>
      <c r="F27" s="17"/>
      <c r="G27" s="17"/>
      <c r="H27" s="17"/>
      <c r="J27" s="10" t="e">
        <f t="shared" si="0"/>
        <v>#DIV/0!</v>
      </c>
    </row>
    <row r="28" spans="1:13">
      <c r="A28" s="11" t="s">
        <v>36</v>
      </c>
      <c r="B28" s="6"/>
      <c r="C28" s="7" t="s">
        <v>13</v>
      </c>
      <c r="D28" s="4"/>
      <c r="E28" s="18"/>
      <c r="F28" s="12">
        <f>IF('[4]1.5'!$I$7=0,0,F22/(('[4]1.5'!$I$7-'[4]1.5'!$I$16-'[4]1.5'!$I$18)*12))*1000</f>
        <v>14629.902910501387</v>
      </c>
      <c r="G28" s="12"/>
      <c r="H28" s="12">
        <f>IF('[4]1.5'!$N$7=0,0,H22/(('[4]1.5'!$N$7-'[4]1.5'!$N$16-'[4]1.5'!$N$18)*12))*1000</f>
        <v>12578.619401304952</v>
      </c>
      <c r="J28" s="10">
        <f t="shared" si="0"/>
        <v>0.85978830333015965</v>
      </c>
    </row>
    <row r="29" spans="1:13">
      <c r="A29" s="11" t="s">
        <v>37</v>
      </c>
      <c r="B29" s="6"/>
      <c r="C29" s="7" t="s">
        <v>15</v>
      </c>
      <c r="D29" s="4"/>
      <c r="E29" s="18"/>
      <c r="F29" s="12"/>
      <c r="G29" s="12"/>
      <c r="H29" s="12"/>
      <c r="J29" s="10" t="e">
        <f t="shared" si="0"/>
        <v>#DIV/0!</v>
      </c>
    </row>
    <row r="30" spans="1:13">
      <c r="A30" s="11"/>
      <c r="B30" s="6"/>
      <c r="C30" s="7" t="s">
        <v>16</v>
      </c>
      <c r="D30" s="4"/>
      <c r="E30" s="18"/>
      <c r="F30" s="12">
        <f>IF('[4]1.5'!$J$7=0,0,(F24+F44)/(('[4]1.5'!$J$7-'[4]1.5'!$J$16-'[4]1.5'!$J$18)*12))*1000</f>
        <v>14629.902910501385</v>
      </c>
      <c r="G30" s="12"/>
      <c r="H30" s="12">
        <f>IF('[4]1.5'!$O$7=0,0,(H24+H44)/(('[4]1.5'!$O$7-'[4]1.5'!$O$16-'[4]1.5'!$O$18)*12))*1000</f>
        <v>12578.619401304952</v>
      </c>
      <c r="J30" s="10">
        <f t="shared" si="0"/>
        <v>0.85978830333015976</v>
      </c>
    </row>
    <row r="31" spans="1:13">
      <c r="A31" s="11"/>
      <c r="B31" s="6"/>
      <c r="C31" s="14" t="s">
        <v>17</v>
      </c>
      <c r="D31" s="4"/>
      <c r="E31" s="18"/>
      <c r="F31" s="12">
        <f>IF('[4]1.5'!$K$7=0,0,(F25+F45+F51)/(('[4]1.5'!$K$7-'[4]1.5'!$K$16-'[4]1.5'!$K$18)*12))*1000</f>
        <v>19540.458683982888</v>
      </c>
      <c r="G31" s="12"/>
      <c r="H31" s="12">
        <f>IF('[4]1.5'!$P$7=0,0,(H25+H45+H51)/(('[4]1.5'!$P$7-'[4]1.5'!$P$16-'[4]1.5'!$P$18)*12))*1000</f>
        <v>16821.13124782846</v>
      </c>
      <c r="J31" s="10">
        <f t="shared" si="0"/>
        <v>0.86083604893146992</v>
      </c>
    </row>
    <row r="32" spans="1:13">
      <c r="A32" s="11" t="s">
        <v>38</v>
      </c>
      <c r="B32" s="6"/>
      <c r="C32" s="7" t="s">
        <v>19</v>
      </c>
      <c r="D32" s="4"/>
      <c r="E32" s="18"/>
      <c r="F32" s="12">
        <f>IF('[4]1.5'!$L$7=0,0,(F26+F58)/(('[4]1.5'!$L$7-'[4]1.5'!$L$16-'[4]1.5'!$L$18)*12))*1000</f>
        <v>19748.947923469139</v>
      </c>
      <c r="G32" s="12"/>
      <c r="H32" s="12">
        <f>IF('[4]1.5'!$Q$7=0,0,(H26+H58)/(('[4]1.5'!$Q$7-'[4]1.5'!$Q$16-'[4]1.5'!$Q$18)*12))*1000</f>
        <v>17095.671612239399</v>
      </c>
      <c r="J32" s="10">
        <f t="shared" si="0"/>
        <v>0.86564973883613039</v>
      </c>
    </row>
    <row r="33" spans="1:10" ht="76.5">
      <c r="A33" s="5" t="s">
        <v>39</v>
      </c>
      <c r="B33" s="6"/>
      <c r="C33" s="7" t="s">
        <v>40</v>
      </c>
      <c r="D33" s="8" t="s">
        <v>41</v>
      </c>
      <c r="E33" s="17"/>
      <c r="F33" s="12"/>
      <c r="G33" s="12"/>
      <c r="H33" s="12"/>
      <c r="J33" s="10" t="e">
        <f t="shared" si="0"/>
        <v>#DIV/0!</v>
      </c>
    </row>
    <row r="34" spans="1:10">
      <c r="A34" s="11" t="s">
        <v>42</v>
      </c>
      <c r="B34" s="6"/>
      <c r="C34" s="7" t="s">
        <v>13</v>
      </c>
      <c r="D34" s="4"/>
      <c r="E34" s="18"/>
      <c r="F34" s="12">
        <f>F28*12/('[4]1.4'!$I$19/'[4]1.5'!$I$19*1000)</f>
        <v>24.643500011317034</v>
      </c>
      <c r="G34" s="12"/>
      <c r="H34" s="12">
        <f>H28*12/('[4]1.4'!$N$19/'[4]1.5'!$N$19*1000)</f>
        <v>21.653222671668512</v>
      </c>
      <c r="J34" s="10">
        <f t="shared" si="0"/>
        <v>0.87865857778824852</v>
      </c>
    </row>
    <row r="35" spans="1:10">
      <c r="A35" s="11" t="s">
        <v>43</v>
      </c>
      <c r="B35" s="6"/>
      <c r="C35" s="7" t="s">
        <v>15</v>
      </c>
      <c r="D35" s="4"/>
      <c r="E35" s="18"/>
      <c r="F35" s="12"/>
      <c r="G35" s="12"/>
      <c r="H35" s="12"/>
      <c r="J35" s="10" t="e">
        <f t="shared" si="0"/>
        <v>#DIV/0!</v>
      </c>
    </row>
    <row r="36" spans="1:10">
      <c r="A36" s="11"/>
      <c r="B36" s="6"/>
      <c r="C36" s="7" t="s">
        <v>16</v>
      </c>
      <c r="D36" s="4"/>
      <c r="E36" s="18"/>
      <c r="F36" s="12" t="e">
        <f>F30*12/('[4]1.4'!$J$19/'[4]1.5'!$J$19*1000)</f>
        <v>#DIV/0!</v>
      </c>
      <c r="G36" s="12"/>
      <c r="H36" s="12" t="e">
        <f>H30*12/('[4]1.4'!$O$19/'[4]1.5'!$O$19*1000)</f>
        <v>#DIV/0!</v>
      </c>
      <c r="J36" s="10" t="e">
        <f t="shared" si="0"/>
        <v>#DIV/0!</v>
      </c>
    </row>
    <row r="37" spans="1:10">
      <c r="A37" s="11"/>
      <c r="B37" s="6"/>
      <c r="C37" s="14" t="s">
        <v>17</v>
      </c>
      <c r="D37" s="4"/>
      <c r="E37" s="18"/>
      <c r="F37" s="12">
        <f>F31*12/('[4]1.4'!$K$19/'[4]1.5'!$K$19*1000)</f>
        <v>26.834873947925235</v>
      </c>
      <c r="G37" s="12"/>
      <c r="H37" s="12">
        <f>H31*12/('[4]1.4'!$P$19/'[4]1.5'!$P$19*1000)</f>
        <v>23.071690909280662</v>
      </c>
      <c r="J37" s="10">
        <f t="shared" si="0"/>
        <v>0.85976520530905909</v>
      </c>
    </row>
    <row r="38" spans="1:10">
      <c r="A38" s="11" t="s">
        <v>44</v>
      </c>
      <c r="B38" s="6"/>
      <c r="C38" s="7" t="s">
        <v>19</v>
      </c>
      <c r="D38" s="4"/>
      <c r="E38" s="18"/>
      <c r="F38" s="12">
        <f>F32*12/('[4]1.4'!$L$19/'[4]1.5'!$L$19*1000)</f>
        <v>92.509495116022805</v>
      </c>
      <c r="G38" s="12"/>
      <c r="H38" s="12">
        <f>H32*12/('[4]1.4'!$Q$19/'[4]1.5'!$Q$19*1000)</f>
        <v>27.355785513282552</v>
      </c>
      <c r="J38" s="10">
        <f t="shared" si="0"/>
        <v>0.29570786738132876</v>
      </c>
    </row>
    <row r="39" spans="1:10" ht="15.75">
      <c r="C39" s="19" t="s">
        <v>45</v>
      </c>
      <c r="D39" s="19"/>
      <c r="E39" s="19"/>
      <c r="F39" s="19" t="s">
        <v>46</v>
      </c>
      <c r="G39" s="19"/>
    </row>
    <row r="40" spans="1:10" ht="13.5" thickBot="1">
      <c r="C40" s="1" t="s">
        <v>47</v>
      </c>
    </row>
    <row r="41" spans="1:10" ht="38.25">
      <c r="B41" s="20" t="s">
        <v>48</v>
      </c>
      <c r="C41" s="55" t="s">
        <v>48</v>
      </c>
      <c r="D41" s="21"/>
      <c r="E41" s="22"/>
      <c r="F41" s="22">
        <f>F22-F28*('[4]1.5'!I19)*12/1000</f>
        <v>1138.875969313804</v>
      </c>
      <c r="G41" s="22"/>
      <c r="H41" s="22">
        <f>H22-H28*('[4]1.5'!N19)*12/1000</f>
        <v>975.51133080716374</v>
      </c>
    </row>
    <row r="42" spans="1:10">
      <c r="B42" s="23"/>
      <c r="C42" s="55"/>
      <c r="D42" s="21"/>
      <c r="E42" s="24"/>
      <c r="F42" s="24"/>
      <c r="G42" s="24"/>
      <c r="H42" s="24"/>
    </row>
    <row r="43" spans="1:10">
      <c r="B43" s="23"/>
      <c r="C43" s="55"/>
      <c r="D43" s="21"/>
      <c r="E43" s="24"/>
      <c r="F43" s="24"/>
      <c r="G43" s="24"/>
      <c r="H43" s="24"/>
    </row>
    <row r="44" spans="1:10">
      <c r="B44" s="23"/>
      <c r="C44" s="55"/>
      <c r="D44" s="21"/>
      <c r="E44" s="25"/>
      <c r="F44" s="25">
        <f>IF(('[4]1.5'!J9+'[4]1.5'!K9)=0,0,F41*'[4]1.5'!J9/('[4]1.5'!J9+'[4]1.5'!K9))</f>
        <v>1138.875969313804</v>
      </c>
      <c r="G44" s="25"/>
      <c r="H44" s="25">
        <f>IF(('[4]1.5'!O9+'[4]1.5'!P9)=0,0,H41*'[4]1.5'!O9/('[4]1.5'!O9+'[4]1.5'!P9))</f>
        <v>975.51133080716374</v>
      </c>
    </row>
    <row r="45" spans="1:10">
      <c r="B45" s="23"/>
      <c r="C45" s="55"/>
      <c r="D45" s="21"/>
      <c r="E45" s="25"/>
      <c r="F45" s="25">
        <f>F41-F44</f>
        <v>0</v>
      </c>
      <c r="G45" s="25"/>
      <c r="H45" s="25">
        <f>H41-H44</f>
        <v>0</v>
      </c>
    </row>
    <row r="46" spans="1:10">
      <c r="B46" s="23"/>
      <c r="C46" s="55"/>
      <c r="D46" s="21"/>
      <c r="E46" s="24"/>
      <c r="F46" s="24"/>
      <c r="G46" s="24"/>
      <c r="H46" s="24"/>
    </row>
    <row r="47" spans="1:10" ht="38.25">
      <c r="B47" s="23" t="s">
        <v>49</v>
      </c>
      <c r="C47" s="55" t="s">
        <v>49</v>
      </c>
      <c r="D47" s="26"/>
      <c r="E47" s="24"/>
      <c r="F47" s="24"/>
      <c r="G47" s="24"/>
      <c r="H47" s="24"/>
    </row>
    <row r="48" spans="1:10">
      <c r="B48" s="23"/>
      <c r="C48" s="55"/>
      <c r="D48" s="27"/>
      <c r="E48" s="24"/>
      <c r="F48" s="24"/>
      <c r="G48" s="24"/>
      <c r="H48" s="24"/>
    </row>
    <row r="49" spans="2:8">
      <c r="B49" s="23"/>
      <c r="C49" s="55"/>
      <c r="D49" s="27"/>
      <c r="E49" s="24"/>
      <c r="F49" s="24"/>
      <c r="G49" s="24"/>
      <c r="H49" s="24"/>
    </row>
    <row r="50" spans="2:8">
      <c r="B50" s="23"/>
      <c r="C50" s="55"/>
      <c r="D50" s="27"/>
      <c r="E50" s="24"/>
      <c r="F50" s="24"/>
      <c r="G50" s="24"/>
      <c r="H50" s="24"/>
    </row>
    <row r="51" spans="2:8">
      <c r="B51" s="23"/>
      <c r="C51" s="55"/>
      <c r="D51" s="27"/>
      <c r="E51" s="22"/>
      <c r="F51" s="22">
        <f>F24+F44-F30*('[4]1.5'!J19)*12/1000</f>
        <v>1138.875969313804</v>
      </c>
      <c r="G51" s="22"/>
      <c r="H51" s="22">
        <f>H24+H44-H30*('[4]1.5'!O19)*12/1000</f>
        <v>975.51133080716374</v>
      </c>
    </row>
    <row r="52" spans="2:8">
      <c r="B52" s="23"/>
      <c r="C52" s="55"/>
      <c r="D52" s="27"/>
      <c r="E52" s="24"/>
      <c r="F52" s="24"/>
      <c r="G52" s="24"/>
      <c r="H52" s="24"/>
    </row>
    <row r="53" spans="2:8" ht="38.25">
      <c r="B53" s="23" t="s">
        <v>50</v>
      </c>
      <c r="C53" s="55" t="s">
        <v>50</v>
      </c>
      <c r="D53" s="26"/>
      <c r="E53" s="24"/>
      <c r="F53" s="24"/>
      <c r="G53" s="24"/>
      <c r="H53" s="24"/>
    </row>
    <row r="54" spans="2:8">
      <c r="B54" s="23"/>
      <c r="C54" s="55"/>
      <c r="D54" s="27"/>
      <c r="E54" s="24"/>
      <c r="F54" s="24"/>
      <c r="G54" s="24"/>
      <c r="H54" s="24"/>
    </row>
    <row r="55" spans="2:8">
      <c r="B55" s="23"/>
      <c r="C55" s="55"/>
      <c r="D55" s="27"/>
      <c r="E55" s="24"/>
      <c r="F55" s="24"/>
      <c r="G55" s="24"/>
      <c r="H55" s="24"/>
    </row>
    <row r="56" spans="2:8">
      <c r="B56" s="23"/>
      <c r="C56" s="55"/>
      <c r="D56" s="27"/>
      <c r="E56" s="24"/>
      <c r="F56" s="24"/>
      <c r="G56" s="24"/>
      <c r="H56" s="24"/>
    </row>
    <row r="57" spans="2:8">
      <c r="B57" s="23"/>
      <c r="C57" s="55"/>
      <c r="D57" s="27"/>
      <c r="E57" s="24"/>
      <c r="F57" s="24"/>
      <c r="G57" s="24"/>
      <c r="H57" s="24"/>
    </row>
    <row r="58" spans="2:8" ht="13.5" thickBot="1">
      <c r="B58" s="28"/>
      <c r="C58" s="55"/>
      <c r="D58" s="27"/>
      <c r="E58" s="22"/>
      <c r="F58" s="22">
        <f>F25+F45+F51-F31*('[4]1.5'!K19)*12/1000</f>
        <v>27.821705074254851</v>
      </c>
      <c r="G58" s="22"/>
      <c r="H58" s="22">
        <f>H25+H45+H51-H31*('[4]1.5'!P19)*12/1000</f>
        <v>15.063928593155197</v>
      </c>
    </row>
    <row r="61" spans="2:8">
      <c r="C61" s="1" t="s">
        <v>51</v>
      </c>
      <c r="F61" s="29">
        <f>'[4]1.4'!I19</f>
        <v>2.1656780000000002</v>
      </c>
      <c r="G61" s="29"/>
      <c r="H61" s="29">
        <f>'[4]1.4'!N19</f>
        <v>2.0424869999999999</v>
      </c>
    </row>
    <row r="63" spans="2:8">
      <c r="F63" s="29">
        <f>'[4]1.4'!J19</f>
        <v>0</v>
      </c>
      <c r="G63" s="29"/>
      <c r="H63" s="29">
        <f>'[4]1.4'!O19</f>
        <v>0</v>
      </c>
    </row>
    <row r="64" spans="2:8">
      <c r="F64" s="29">
        <f>'[4]1.4'!K19</f>
        <v>55.503848999999995</v>
      </c>
      <c r="G64" s="29"/>
      <c r="H64" s="29">
        <f>'[4]1.4'!P19</f>
        <v>55.744748000000001</v>
      </c>
    </row>
    <row r="65" spans="6:8">
      <c r="F65" s="29">
        <f>'[4]1.4'!L19</f>
        <v>0.302288</v>
      </c>
      <c r="G65" s="29"/>
      <c r="H65" s="29">
        <f>'[4]1.4'!Q19</f>
        <v>0.55494500000000002</v>
      </c>
    </row>
    <row r="67" spans="6:8">
      <c r="F67" s="29" t="e">
        <f>F21-SUMPRODUCT(F34:F38,F61:F65)</f>
        <v>#DIV/0!</v>
      </c>
      <c r="G67" s="29"/>
      <c r="H67" s="29" t="e">
        <f>H21-SUMPRODUCT(H34:H38,H61:H65)</f>
        <v>#DIV/0!</v>
      </c>
    </row>
  </sheetData>
  <mergeCells count="10">
    <mergeCell ref="B7:C7"/>
    <mergeCell ref="C41:C46"/>
    <mergeCell ref="C47:C52"/>
    <mergeCell ref="C53:C58"/>
    <mergeCell ref="A3:H3"/>
    <mergeCell ref="A5:A6"/>
    <mergeCell ref="B5:C6"/>
    <mergeCell ref="D5:D6"/>
    <mergeCell ref="E5:F5"/>
    <mergeCell ref="G5:H5"/>
  </mergeCells>
  <pageMargins left="1.1811023622047245" right="0.15748031496062992" top="0.74803149606299213" bottom="0.74803149606299213" header="0.31496062992125984" footer="0.51181102362204722"/>
  <pageSetup paperSize="9" scale="98" orientation="portrait" r:id="rId1"/>
  <headerFooter>
    <oddFooter>&amp;Ь&amp;Ф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="60" zoomScaleNormal="70" workbookViewId="0">
      <selection activeCell="E6" sqref="E6"/>
    </sheetView>
  </sheetViews>
  <sheetFormatPr defaultRowHeight="15.75"/>
  <cols>
    <col min="1" max="1" width="9.140625" style="30"/>
    <col min="2" max="2" width="9.140625" style="30" hidden="1" customWidth="1"/>
    <col min="3" max="3" width="38.140625" style="30" customWidth="1"/>
    <col min="4" max="4" width="13.7109375" style="30" customWidth="1"/>
    <col min="5" max="5" width="14.85546875" style="30" customWidth="1"/>
    <col min="6" max="6" width="18.42578125" style="30" customWidth="1"/>
    <col min="7" max="7" width="9.140625" style="30"/>
    <col min="8" max="8" width="9.7109375" style="30" bestFit="1" customWidth="1"/>
    <col min="9" max="16384" width="9.140625" style="30"/>
  </cols>
  <sheetData>
    <row r="1" spans="1:8">
      <c r="A1" s="30" t="s">
        <v>0</v>
      </c>
      <c r="F1" s="31" t="s">
        <v>52</v>
      </c>
    </row>
    <row r="3" spans="1:8">
      <c r="A3" s="68" t="s">
        <v>53</v>
      </c>
      <c r="B3" s="68"/>
      <c r="C3" s="68"/>
      <c r="D3" s="68"/>
      <c r="E3" s="68"/>
      <c r="F3" s="68"/>
    </row>
    <row r="4" spans="1:8">
      <c r="A4" s="68" t="s">
        <v>54</v>
      </c>
      <c r="B4" s="68"/>
      <c r="C4" s="68"/>
      <c r="D4" s="68"/>
      <c r="E4" s="68"/>
      <c r="F4" s="68"/>
    </row>
    <row r="6" spans="1:8" ht="48.75" customHeight="1">
      <c r="A6" s="32" t="s">
        <v>3</v>
      </c>
      <c r="B6" s="69"/>
      <c r="C6" s="70"/>
      <c r="D6" s="32" t="s">
        <v>4</v>
      </c>
      <c r="E6" s="32" t="s">
        <v>5</v>
      </c>
      <c r="F6" s="32" t="s">
        <v>6</v>
      </c>
      <c r="H6" s="30" t="s">
        <v>7</v>
      </c>
    </row>
    <row r="7" spans="1:8">
      <c r="A7" s="33">
        <v>1</v>
      </c>
      <c r="B7" s="71">
        <v>2</v>
      </c>
      <c r="C7" s="72"/>
      <c r="D7" s="33">
        <v>3</v>
      </c>
      <c r="E7" s="33">
        <v>4</v>
      </c>
      <c r="F7" s="33">
        <v>5</v>
      </c>
    </row>
    <row r="8" spans="1:8" ht="31.5">
      <c r="A8" s="34">
        <v>1</v>
      </c>
      <c r="B8" s="35"/>
      <c r="C8" s="36" t="s">
        <v>55</v>
      </c>
      <c r="D8" s="37" t="s">
        <v>41</v>
      </c>
      <c r="E8" s="38">
        <v>1067.7</v>
      </c>
      <c r="F8" s="38">
        <f>E8*106%</f>
        <v>1131.7620000000002</v>
      </c>
      <c r="H8" s="39">
        <f>F8/E8</f>
        <v>1.06</v>
      </c>
    </row>
    <row r="9" spans="1:8" ht="47.25">
      <c r="A9" s="34" t="s">
        <v>20</v>
      </c>
      <c r="B9" s="35"/>
      <c r="C9" s="36" t="s">
        <v>56</v>
      </c>
      <c r="D9" s="37" t="s">
        <v>57</v>
      </c>
      <c r="E9" s="40">
        <f>E10+E11+E14</f>
        <v>173.27617999999998</v>
      </c>
      <c r="F9" s="40">
        <f>F10+F11+F14</f>
        <v>174.936374</v>
      </c>
      <c r="H9" s="39">
        <f t="shared" ref="H9:H39" si="0">F9/E9</f>
        <v>1.0095812015246413</v>
      </c>
    </row>
    <row r="10" spans="1:8">
      <c r="A10" s="41" t="s">
        <v>22</v>
      </c>
      <c r="B10" s="35"/>
      <c r="C10" s="36" t="s">
        <v>13</v>
      </c>
      <c r="D10" s="33"/>
      <c r="E10" s="40">
        <f>'[4]1.4'!I7</f>
        <v>60.879331999999991</v>
      </c>
      <c r="F10" s="40">
        <f>'[4]1.4'!N7</f>
        <v>61.286410000000004</v>
      </c>
      <c r="H10" s="39">
        <f t="shared" si="0"/>
        <v>1.0066866371004204</v>
      </c>
    </row>
    <row r="11" spans="1:8">
      <c r="A11" s="41" t="s">
        <v>23</v>
      </c>
      <c r="B11" s="35"/>
      <c r="C11" s="36" t="s">
        <v>15</v>
      </c>
      <c r="D11" s="33"/>
      <c r="E11" s="40">
        <f>E12+E13</f>
        <v>112.09289399999999</v>
      </c>
      <c r="F11" s="40">
        <f>F12+F13</f>
        <v>113.09031</v>
      </c>
      <c r="H11" s="39">
        <f t="shared" si="0"/>
        <v>1.0088981198040976</v>
      </c>
    </row>
    <row r="12" spans="1:8">
      <c r="A12" s="41"/>
      <c r="B12" s="35"/>
      <c r="C12" s="36" t="s">
        <v>16</v>
      </c>
      <c r="D12" s="33"/>
      <c r="E12" s="40">
        <f>'[4]1.4'!J7</f>
        <v>56.046446999999993</v>
      </c>
      <c r="F12" s="40">
        <f>'[4]1.4'!O7</f>
        <v>56.545155000000001</v>
      </c>
      <c r="H12" s="39">
        <f t="shared" si="0"/>
        <v>1.0088981198040976</v>
      </c>
    </row>
    <row r="13" spans="1:8">
      <c r="A13" s="41"/>
      <c r="B13" s="35"/>
      <c r="C13" s="36" t="s">
        <v>58</v>
      </c>
      <c r="D13" s="33"/>
      <c r="E13" s="40">
        <f>'[4]1.4'!K7</f>
        <v>56.046446999999993</v>
      </c>
      <c r="F13" s="40">
        <f>'[4]1.4'!P7</f>
        <v>56.545155000000001</v>
      </c>
      <c r="H13" s="39">
        <f t="shared" si="0"/>
        <v>1.0088981198040976</v>
      </c>
    </row>
    <row r="14" spans="1:8">
      <c r="A14" s="41" t="s">
        <v>24</v>
      </c>
      <c r="B14" s="35"/>
      <c r="C14" s="36" t="s">
        <v>19</v>
      </c>
      <c r="D14" s="33"/>
      <c r="E14" s="40">
        <f>'[4]1.4'!L7</f>
        <v>0.303954</v>
      </c>
      <c r="F14" s="40">
        <f>'[4]1.4'!Q7</f>
        <v>0.55965399999999998</v>
      </c>
      <c r="H14" s="39">
        <f t="shared" si="0"/>
        <v>1.8412457148121097</v>
      </c>
    </row>
    <row r="15" spans="1:8">
      <c r="A15" s="41" t="s">
        <v>25</v>
      </c>
      <c r="B15" s="35"/>
      <c r="C15" s="36" t="s">
        <v>59</v>
      </c>
      <c r="D15" s="33" t="s">
        <v>27</v>
      </c>
      <c r="E15" s="42"/>
      <c r="F15" s="42"/>
      <c r="H15" s="39" t="e">
        <f t="shared" si="0"/>
        <v>#DIV/0!</v>
      </c>
    </row>
    <row r="16" spans="1:8">
      <c r="A16" s="41" t="s">
        <v>60</v>
      </c>
      <c r="B16" s="35"/>
      <c r="C16" s="36" t="s">
        <v>13</v>
      </c>
      <c r="D16" s="33"/>
      <c r="E16" s="43">
        <f>'[4]1.4'!I17</f>
        <v>4.3811370992047023E-2</v>
      </c>
      <c r="F16" s="43">
        <f>'[4]1.4'!N17</f>
        <v>4.4035341603464777E-2</v>
      </c>
      <c r="H16" s="39">
        <f t="shared" si="0"/>
        <v>1.005112157103196</v>
      </c>
    </row>
    <row r="17" spans="1:8">
      <c r="A17" s="41" t="s">
        <v>61</v>
      </c>
      <c r="B17" s="35"/>
      <c r="C17" s="36" t="s">
        <v>15</v>
      </c>
      <c r="D17" s="33"/>
      <c r="E17" s="43"/>
      <c r="F17" s="43"/>
      <c r="H17" s="39" t="e">
        <f t="shared" si="0"/>
        <v>#DIV/0!</v>
      </c>
    </row>
    <row r="18" spans="1:8">
      <c r="A18" s="41"/>
      <c r="B18" s="35"/>
      <c r="C18" s="36" t="s">
        <v>16</v>
      </c>
      <c r="D18" s="33"/>
      <c r="E18" s="43">
        <f>'[4]1.4'!J17</f>
        <v>0</v>
      </c>
      <c r="F18" s="43">
        <f>'[4]1.4'!O17</f>
        <v>0</v>
      </c>
      <c r="H18" s="39" t="e">
        <f t="shared" si="0"/>
        <v>#DIV/0!</v>
      </c>
    </row>
    <row r="19" spans="1:8">
      <c r="A19" s="41"/>
      <c r="B19" s="35"/>
      <c r="C19" s="36" t="s">
        <v>58</v>
      </c>
      <c r="D19" s="33"/>
      <c r="E19" s="43">
        <f>'[4]1.4'!K17</f>
        <v>2.5486896609164186E-3</v>
      </c>
      <c r="F19" s="43">
        <f>'[4]1.4'!P17</f>
        <v>2.5635087568510509E-3</v>
      </c>
      <c r="H19" s="39">
        <f t="shared" si="0"/>
        <v>1.0058143979480436</v>
      </c>
    </row>
    <row r="20" spans="1:8">
      <c r="A20" s="41" t="s">
        <v>62</v>
      </c>
      <c r="B20" s="35"/>
      <c r="C20" s="36" t="s">
        <v>19</v>
      </c>
      <c r="D20" s="33"/>
      <c r="E20" s="43">
        <f>'[4]1.4'!L17</f>
        <v>5.4810925337386573E-3</v>
      </c>
      <c r="F20" s="43">
        <f>'[4]1.4'!Q17</f>
        <v>8.4141273000818365E-3</v>
      </c>
      <c r="H20" s="39">
        <f t="shared" si="0"/>
        <v>1.5351186370762753</v>
      </c>
    </row>
    <row r="21" spans="1:8" ht="31.5">
      <c r="A21" s="41" t="s">
        <v>28</v>
      </c>
      <c r="B21" s="35"/>
      <c r="C21" s="36" t="s">
        <v>63</v>
      </c>
      <c r="D21" s="33" t="s">
        <v>57</v>
      </c>
      <c r="E21" s="44">
        <f>E22+E23+E26</f>
        <v>57.971814999999992</v>
      </c>
      <c r="F21" s="44">
        <f>F22+F23+F26</f>
        <v>58.342179999999999</v>
      </c>
      <c r="H21" s="39">
        <f t="shared" si="0"/>
        <v>1.0063887080299281</v>
      </c>
    </row>
    <row r="22" spans="1:8">
      <c r="A22" s="41" t="s">
        <v>30</v>
      </c>
      <c r="B22" s="35"/>
      <c r="C22" s="36" t="s">
        <v>13</v>
      </c>
      <c r="D22" s="33"/>
      <c r="E22" s="45">
        <f>'[4]1.4'!I19</f>
        <v>2.1656780000000002</v>
      </c>
      <c r="F22" s="45">
        <f>'[4]1.4'!N19</f>
        <v>2.0424869999999999</v>
      </c>
      <c r="H22" s="39">
        <f t="shared" si="0"/>
        <v>0.94311665907858866</v>
      </c>
    </row>
    <row r="23" spans="1:8">
      <c r="A23" s="41" t="s">
        <v>31</v>
      </c>
      <c r="B23" s="35"/>
      <c r="C23" s="36" t="s">
        <v>15</v>
      </c>
      <c r="D23" s="33"/>
      <c r="E23" s="45">
        <f>E24+E25</f>
        <v>55.503848999999995</v>
      </c>
      <c r="F23" s="45">
        <f>F24+F25</f>
        <v>55.744748000000001</v>
      </c>
      <c r="H23" s="39">
        <f t="shared" si="0"/>
        <v>1.004340221522295</v>
      </c>
    </row>
    <row r="24" spans="1:8">
      <c r="A24" s="41"/>
      <c r="B24" s="35"/>
      <c r="C24" s="36" t="s">
        <v>16</v>
      </c>
      <c r="D24" s="33"/>
      <c r="E24" s="45">
        <f>'[4]1.4'!J19</f>
        <v>0</v>
      </c>
      <c r="F24" s="45">
        <f>'[4]1.4'!O19</f>
        <v>0</v>
      </c>
      <c r="H24" s="39" t="e">
        <f t="shared" si="0"/>
        <v>#DIV/0!</v>
      </c>
    </row>
    <row r="25" spans="1:8">
      <c r="A25" s="41"/>
      <c r="B25" s="35"/>
      <c r="C25" s="36" t="s">
        <v>58</v>
      </c>
      <c r="D25" s="33"/>
      <c r="E25" s="45">
        <f>'[4]1.4'!K19</f>
        <v>55.503848999999995</v>
      </c>
      <c r="F25" s="45">
        <f>'[4]1.4'!P19</f>
        <v>55.744748000000001</v>
      </c>
      <c r="H25" s="39">
        <f t="shared" si="0"/>
        <v>1.004340221522295</v>
      </c>
    </row>
    <row r="26" spans="1:8">
      <c r="A26" s="41" t="s">
        <v>32</v>
      </c>
      <c r="B26" s="35"/>
      <c r="C26" s="36" t="s">
        <v>19</v>
      </c>
      <c r="D26" s="33"/>
      <c r="E26" s="45">
        <f>'[4]1.4'!L19</f>
        <v>0.302288</v>
      </c>
      <c r="F26" s="45">
        <f>'[4]1.4'!Q19</f>
        <v>0.55494500000000002</v>
      </c>
      <c r="H26" s="39">
        <f t="shared" si="0"/>
        <v>1.8358155136823162</v>
      </c>
    </row>
    <row r="27" spans="1:8">
      <c r="A27" s="41"/>
      <c r="B27" s="35"/>
      <c r="C27" s="36"/>
      <c r="D27" s="33"/>
      <c r="E27" s="45"/>
      <c r="F27" s="45"/>
      <c r="H27" s="39" t="e">
        <f t="shared" si="0"/>
        <v>#DIV/0!</v>
      </c>
    </row>
    <row r="28" spans="1:8">
      <c r="A28" s="41" t="s">
        <v>33</v>
      </c>
      <c r="B28" s="35"/>
      <c r="C28" s="36" t="s">
        <v>64</v>
      </c>
      <c r="D28" s="33" t="s">
        <v>11</v>
      </c>
      <c r="E28" s="44">
        <f>E29+E30+E33</f>
        <v>8506.4290042114262</v>
      </c>
      <c r="F28" s="44">
        <f>F29+F30+F33</f>
        <v>9155.6744574133136</v>
      </c>
      <c r="H28" s="39">
        <f t="shared" si="0"/>
        <v>1.0763240900359545</v>
      </c>
    </row>
    <row r="29" spans="1:8">
      <c r="A29" s="41" t="s">
        <v>36</v>
      </c>
      <c r="B29" s="35"/>
      <c r="C29" s="36" t="s">
        <v>13</v>
      </c>
      <c r="D29" s="33"/>
      <c r="E29" s="45">
        <f>E$8*E10*E16</f>
        <v>2847.7769138999997</v>
      </c>
      <c r="F29" s="45">
        <f>F$8*F10*F16</f>
        <v>3054.3630692160004</v>
      </c>
      <c r="H29" s="39">
        <f t="shared" si="0"/>
        <v>1.072542955983544</v>
      </c>
    </row>
    <row r="30" spans="1:8">
      <c r="A30" s="41" t="s">
        <v>37</v>
      </c>
      <c r="B30" s="35"/>
      <c r="C30" s="36" t="s">
        <v>15</v>
      </c>
      <c r="D30" s="33"/>
      <c r="E30" s="45">
        <f>E31+E32</f>
        <v>5636.1765404624657</v>
      </c>
      <c r="F30" s="45">
        <f>F31+F32</f>
        <v>6059.8166745517219</v>
      </c>
      <c r="H30" s="39">
        <f t="shared" si="0"/>
        <v>1.0751644543154242</v>
      </c>
    </row>
    <row r="31" spans="1:8">
      <c r="A31" s="41"/>
      <c r="B31" s="35"/>
      <c r="C31" s="36" t="s">
        <v>16</v>
      </c>
      <c r="D31" s="33"/>
      <c r="E31" s="45">
        <f>E$8*E12*E18+E45</f>
        <v>2741.8304669812328</v>
      </c>
      <c r="F31" s="45">
        <f>F$8*F12*F18+F45</f>
        <v>2947.8816228018609</v>
      </c>
      <c r="H31" s="39">
        <f t="shared" si="0"/>
        <v>1.0751509468955209</v>
      </c>
    </row>
    <row r="32" spans="1:8">
      <c r="A32" s="41"/>
      <c r="B32" s="35"/>
      <c r="C32" s="36" t="s">
        <v>58</v>
      </c>
      <c r="D32" s="33"/>
      <c r="E32" s="45">
        <f>E$8*E13*E19+E46+E52</f>
        <v>2894.3460734812329</v>
      </c>
      <c r="F32" s="45">
        <f>F$8*F13*F19+F46+F52</f>
        <v>3111.935051749861</v>
      </c>
      <c r="H32" s="39">
        <f t="shared" si="0"/>
        <v>1.0751772499709817</v>
      </c>
    </row>
    <row r="33" spans="1:8">
      <c r="A33" s="41" t="s">
        <v>38</v>
      </c>
      <c r="B33" s="35"/>
      <c r="C33" s="36" t="s">
        <v>19</v>
      </c>
      <c r="D33" s="33"/>
      <c r="E33" s="45">
        <f>E$8*E14*E20+E59</f>
        <v>22.475549848960547</v>
      </c>
      <c r="F33" s="45">
        <f>F$8*F14*F20+F59</f>
        <v>41.494713645589833</v>
      </c>
      <c r="H33" s="39">
        <f t="shared" si="0"/>
        <v>1.8462157288449559</v>
      </c>
    </row>
    <row r="34" spans="1:8" ht="63">
      <c r="A34" s="34" t="s">
        <v>39</v>
      </c>
      <c r="B34" s="35"/>
      <c r="C34" s="36" t="s">
        <v>65</v>
      </c>
      <c r="D34" s="37" t="s">
        <v>41</v>
      </c>
      <c r="E34" s="46"/>
      <c r="F34" s="46"/>
      <c r="H34" s="39" t="e">
        <f t="shared" si="0"/>
        <v>#DIV/0!</v>
      </c>
    </row>
    <row r="35" spans="1:8">
      <c r="A35" s="41" t="s">
        <v>42</v>
      </c>
      <c r="B35" s="35"/>
      <c r="C35" s="36" t="s">
        <v>13</v>
      </c>
      <c r="D35" s="33"/>
      <c r="E35" s="40">
        <f>IF((E10*(1-E16))=0,0,E29/(E10*(1-E16)))</f>
        <v>48.920683000319954</v>
      </c>
      <c r="F35" s="40">
        <f>IF((F10*(1-F16))=0,0,F29/(F10*(1-F16)))</f>
        <v>52.133230916103436</v>
      </c>
      <c r="H35" s="39">
        <f t="shared" si="0"/>
        <v>1.0656685009030327</v>
      </c>
    </row>
    <row r="36" spans="1:8">
      <c r="A36" s="41" t="s">
        <v>43</v>
      </c>
      <c r="B36" s="35"/>
      <c r="C36" s="36" t="s">
        <v>15</v>
      </c>
      <c r="D36" s="33"/>
      <c r="E36" s="40"/>
      <c r="F36" s="40"/>
      <c r="H36" s="39" t="e">
        <f t="shared" si="0"/>
        <v>#DIV/0!</v>
      </c>
    </row>
    <row r="37" spans="1:8">
      <c r="A37" s="41"/>
      <c r="B37" s="35"/>
      <c r="C37" s="36" t="s">
        <v>16</v>
      </c>
      <c r="D37" s="33"/>
      <c r="E37" s="40">
        <f t="shared" ref="E37:F39" si="1">IF((E12*(1-E18))=0,0,E31/(E12*(1-E18)))</f>
        <v>48.920683000319954</v>
      </c>
      <c r="F37" s="40">
        <f t="shared" si="1"/>
        <v>52.133230916103436</v>
      </c>
      <c r="H37" s="39">
        <f t="shared" si="0"/>
        <v>1.0656685009030327</v>
      </c>
    </row>
    <row r="38" spans="1:8">
      <c r="A38" s="41"/>
      <c r="B38" s="35"/>
      <c r="C38" s="36" t="s">
        <v>58</v>
      </c>
      <c r="D38" s="33"/>
      <c r="E38" s="40">
        <f t="shared" si="1"/>
        <v>51.773874489898397</v>
      </c>
      <c r="F38" s="40">
        <f t="shared" si="1"/>
        <v>55.175956762101983</v>
      </c>
      <c r="H38" s="39">
        <f t="shared" si="0"/>
        <v>1.0657104052134898</v>
      </c>
    </row>
    <row r="39" spans="1:8">
      <c r="A39" s="41" t="s">
        <v>44</v>
      </c>
      <c r="B39" s="35"/>
      <c r="C39" s="36" t="s">
        <v>19</v>
      </c>
      <c r="D39" s="33"/>
      <c r="E39" s="40">
        <f>IF((E14*(1-E20))=0,0,E33/(E14*(1-E20)))</f>
        <v>74.351445803209344</v>
      </c>
      <c r="F39" s="40">
        <f t="shared" si="1"/>
        <v>74.772659715088579</v>
      </c>
      <c r="H39" s="39">
        <f t="shared" si="0"/>
        <v>1.0056651744606835</v>
      </c>
    </row>
    <row r="40" spans="1:8">
      <c r="C40" s="19" t="s">
        <v>45</v>
      </c>
      <c r="D40" s="19"/>
      <c r="E40" s="19"/>
      <c r="F40" s="19" t="s">
        <v>46</v>
      </c>
      <c r="G40" s="19"/>
    </row>
    <row r="41" spans="1:8">
      <c r="C41" s="1" t="s">
        <v>47</v>
      </c>
      <c r="D41" s="1"/>
      <c r="E41" s="1"/>
      <c r="F41" s="1"/>
      <c r="G41" s="1"/>
      <c r="H41" s="1"/>
    </row>
    <row r="42" spans="1:8">
      <c r="C42" s="66" t="s">
        <v>66</v>
      </c>
      <c r="D42" s="47"/>
      <c r="E42" s="48">
        <f>E29-E35*E22</f>
        <v>2741.8304669812328</v>
      </c>
      <c r="F42" s="48">
        <f>F29-F35*F22</f>
        <v>2947.8816228018609</v>
      </c>
    </row>
    <row r="43" spans="1:8">
      <c r="C43" s="66"/>
      <c r="D43" s="47"/>
      <c r="E43" s="49"/>
      <c r="F43" s="49"/>
    </row>
    <row r="44" spans="1:8">
      <c r="C44" s="66"/>
      <c r="D44" s="47"/>
      <c r="E44" s="49"/>
      <c r="F44" s="49"/>
    </row>
    <row r="45" spans="1:8">
      <c r="C45" s="66"/>
      <c r="D45" s="47"/>
      <c r="E45" s="50">
        <f>IF(('[4]1.4'!J9+'[4]1.4'!K9)=0,0,E42*'[4]1.4'!J9/('[4]1.4'!J9+'[4]1.4'!K9))</f>
        <v>2741.8304669812328</v>
      </c>
      <c r="F45" s="50">
        <f>IF(('[4]1.4'!O9+'[4]1.4'!P9)=0,0,F42*'[4]1.4'!O9/('[4]1.4'!O9+'[4]1.4'!P9))</f>
        <v>2947.8816228018609</v>
      </c>
    </row>
    <row r="46" spans="1:8">
      <c r="C46" s="66"/>
      <c r="D46" s="47"/>
      <c r="E46" s="48">
        <f>E42-E45</f>
        <v>0</v>
      </c>
      <c r="F46" s="48">
        <f>F42-F45</f>
        <v>0</v>
      </c>
    </row>
    <row r="47" spans="1:8">
      <c r="C47" s="66"/>
      <c r="D47" s="47"/>
      <c r="E47" s="49"/>
      <c r="F47" s="49"/>
    </row>
    <row r="48" spans="1:8">
      <c r="C48" s="66" t="s">
        <v>67</v>
      </c>
      <c r="D48" s="47"/>
      <c r="E48" s="49"/>
      <c r="F48" s="49"/>
    </row>
    <row r="49" spans="3:6">
      <c r="C49" s="66"/>
      <c r="D49" s="47"/>
      <c r="E49" s="49"/>
      <c r="F49" s="49"/>
    </row>
    <row r="50" spans="3:6">
      <c r="C50" s="66"/>
      <c r="D50" s="47"/>
      <c r="E50" s="49"/>
      <c r="F50" s="49"/>
    </row>
    <row r="51" spans="3:6">
      <c r="C51" s="66"/>
      <c r="D51" s="47"/>
      <c r="E51" s="49"/>
      <c r="F51" s="49"/>
    </row>
    <row r="52" spans="3:6">
      <c r="C52" s="66"/>
      <c r="D52" s="47"/>
      <c r="E52" s="48">
        <f>E31-E37*E24</f>
        <v>2741.8304669812328</v>
      </c>
      <c r="F52" s="48">
        <f>F31-F37*F24</f>
        <v>2947.8816228018609</v>
      </c>
    </row>
    <row r="53" spans="3:6">
      <c r="C53" s="66"/>
      <c r="D53" s="47"/>
      <c r="E53" s="49"/>
      <c r="F53" s="49"/>
    </row>
    <row r="54" spans="3:6">
      <c r="C54" s="66" t="s">
        <v>68</v>
      </c>
      <c r="D54" s="47"/>
      <c r="E54" s="49"/>
      <c r="F54" s="49"/>
    </row>
    <row r="55" spans="3:6">
      <c r="C55" s="66"/>
      <c r="D55" s="47"/>
      <c r="E55" s="49"/>
      <c r="F55" s="49"/>
    </row>
    <row r="56" spans="3:6">
      <c r="C56" s="66"/>
      <c r="D56" s="47"/>
      <c r="E56" s="49"/>
      <c r="F56" s="49"/>
    </row>
    <row r="57" spans="3:6">
      <c r="C57" s="66"/>
      <c r="D57" s="47"/>
      <c r="E57" s="49"/>
      <c r="F57" s="49"/>
    </row>
    <row r="58" spans="3:6">
      <c r="C58" s="66"/>
      <c r="D58" s="47"/>
      <c r="E58" s="49"/>
      <c r="F58" s="49"/>
    </row>
    <row r="59" spans="3:6" ht="16.5" thickBot="1">
      <c r="C59" s="67"/>
      <c r="D59" s="51"/>
      <c r="E59" s="52">
        <f>E32-E38*E25</f>
        <v>20.696761648960546</v>
      </c>
      <c r="F59" s="52">
        <f>F32-F38*F25</f>
        <v>36.165246387589832</v>
      </c>
    </row>
  </sheetData>
  <mergeCells count="7">
    <mergeCell ref="C54:C59"/>
    <mergeCell ref="A3:F3"/>
    <mergeCell ref="A4:F4"/>
    <mergeCell ref="B6:C6"/>
    <mergeCell ref="B7:C7"/>
    <mergeCell ref="C42:C47"/>
    <mergeCell ref="C48:C53"/>
  </mergeCells>
  <printOptions horizontalCentered="1"/>
  <pageMargins left="1.1023622047244095" right="0.51181102362204722" top="0.74803149606299213" bottom="0.82677165354330717" header="0.31496062992125984" footer="0.43307086614173229"/>
  <pageSetup paperSize="9" scale="91" orientation="portrait" r:id="rId1"/>
  <headerFooter>
    <oddFooter>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1.24</vt:lpstr>
      <vt:lpstr>1.25</vt:lpstr>
      <vt:lpstr>'1.24'!Область_печати</vt:lpstr>
      <vt:lpstr>'1.25'!Область_печати</vt:lpstr>
    </vt:vector>
  </TitlesOfParts>
  <Company>СУЭК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SotskovaEN</dc:creator>
  <cp:lastModifiedBy>KolesnikovaGO</cp:lastModifiedBy>
  <dcterms:created xsi:type="dcterms:W3CDTF">2015-08-06T03:18:38Z</dcterms:created>
  <dcterms:modified xsi:type="dcterms:W3CDTF">2015-08-18T03:58:15Z</dcterms:modified>
</cp:coreProperties>
</file>